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5" windowHeight="8700" activeTab="0"/>
  </bookViews>
  <sheets>
    <sheet name="Lattice Energy" sheetId="1" r:id="rId1"/>
    <sheet name="MX Structure Map" sheetId="2" r:id="rId2"/>
    <sheet name="Kapustinsky Lattice Energy" sheetId="3" r:id="rId3"/>
    <sheet name="Directions" sheetId="4" r:id="rId4"/>
    <sheet name="Discussion" sheetId="5" r:id="rId5"/>
  </sheets>
  <definedNames>
    <definedName name="c_light">299792500</definedName>
    <definedName name="h">6.62618E-34</definedName>
    <definedName name="k">1.38066E-23</definedName>
    <definedName name="lattice_energy">'Lattice Energy'!$U$14</definedName>
    <definedName name="Na">6.02205E+23</definedName>
    <definedName name="_xlnm.Print_Area" localSheetId="3">'Directions'!$A$2:$O$28,'Directions'!$A$31:$N$134</definedName>
    <definedName name="_xlnm.Print_Area" localSheetId="4">'Discussion'!$A$1:$K$224,'Discussion'!$A$226:$M$290</definedName>
    <definedName name="_xlnm.Print_Area" localSheetId="2">'Kapustinsky Lattice Energy'!$A$1:$K$33</definedName>
    <definedName name="_xlnm.Print_Area" localSheetId="0">'Lattice Energy'!$A$1:$Q$27,'Lattice Energy'!$R$2:$AA$32,'Lattice Energy'!$AC$1:$AM$30</definedName>
    <definedName name="_xlnm.Print_Area" localSheetId="1">'MX Structure Map'!$A$1:$M$32,'MX Structure Map'!$N$5:$AM$32</definedName>
    <definedName name="Rjmk">8.31451</definedName>
    <definedName name="RT">Rjmk*298.15/1000</definedName>
    <definedName name="solver_adj" localSheetId="4" hidden="1">'Discussion'!$D$176:$E$176</definedName>
    <definedName name="solver_cvg" localSheetId="4" hidden="1">0.0001</definedName>
    <definedName name="solver_drv" localSheetId="4" hidden="1">1</definedName>
    <definedName name="solver_est" localSheetId="4" hidden="1">1</definedName>
    <definedName name="solver_itr" localSheetId="4" hidden="1">100</definedName>
    <definedName name="solver_lin" localSheetId="4" hidden="1">2</definedName>
    <definedName name="solver_neg" localSheetId="4" hidden="1">2</definedName>
    <definedName name="solver_num" localSheetId="4" hidden="1">0</definedName>
    <definedName name="solver_nwt" localSheetId="4" hidden="1">1</definedName>
    <definedName name="solver_opt" localSheetId="4" hidden="1">'Discussion'!$J$175</definedName>
    <definedName name="solver_pre" localSheetId="4" hidden="1">0.000001</definedName>
    <definedName name="solver_scl" localSheetId="4" hidden="1">2</definedName>
    <definedName name="solver_sho" localSheetId="4" hidden="1">2</definedName>
    <definedName name="solver_tim" localSheetId="4" hidden="1">100</definedName>
    <definedName name="solver_tol" localSheetId="4" hidden="1">0.05</definedName>
    <definedName name="solver_typ" localSheetId="4" hidden="1">2</definedName>
    <definedName name="solver_val" localSheetId="4" hidden="1">0</definedName>
  </definedNames>
  <calcPr fullCalcOnLoad="1" iterate="1" iterateCount="1" iterateDelta="0.001"/>
</workbook>
</file>

<file path=xl/comments1.xml><?xml version="1.0" encoding="utf-8"?>
<comments xmlns="http://schemas.openxmlformats.org/spreadsheetml/2006/main">
  <authors>
    <author>Christopher King</author>
  </authors>
  <commentList>
    <comment ref="AQ3" authorId="0">
      <text>
        <r>
          <rPr>
            <sz val="10"/>
            <rFont val="Tahoma"/>
            <family val="2"/>
          </rPr>
          <t xml:space="preserve">        From Douglas, B.; McDaniel, D.; Alexander, J.  </t>
        </r>
        <r>
          <rPr>
            <i/>
            <sz val="10"/>
            <rFont val="Tahoma"/>
            <family val="2"/>
          </rPr>
          <t>Concepts and Models of Inorganic Chemistry</t>
        </r>
        <r>
          <rPr>
            <sz val="10"/>
            <rFont val="Tahoma"/>
            <family val="2"/>
          </rPr>
          <t xml:space="preserve">, 3rd ed.; Wiley:  New York, 1994, p. 237.
        Anion and cation radii are adjusted by adding constants to them, as described by Latimer, W. M.; Pitzer, K. S.; Slansky, C. M.  "Free Energy of Hydration of Gaseous Ions, and the Absolute Potential of the Normal Calomel Electrode", </t>
        </r>
        <r>
          <rPr>
            <i/>
            <sz val="10"/>
            <rFont val="Tahoma"/>
            <family val="2"/>
          </rPr>
          <t>J. Chem. Phys.,</t>
        </r>
        <r>
          <rPr>
            <sz val="10"/>
            <rFont val="Tahoma"/>
            <family val="2"/>
          </rPr>
          <t xml:space="preserve"> </t>
        </r>
        <r>
          <rPr>
            <b/>
            <sz val="10"/>
            <rFont val="Tahoma"/>
            <family val="2"/>
          </rPr>
          <t>1939</t>
        </r>
        <r>
          <rPr>
            <sz val="10"/>
            <rFont val="Tahoma"/>
            <family val="2"/>
          </rPr>
          <t xml:space="preserve">, </t>
        </r>
        <r>
          <rPr>
            <i/>
            <sz val="10"/>
            <rFont val="Tahoma"/>
            <family val="2"/>
          </rPr>
          <t>7</t>
        </r>
        <r>
          <rPr>
            <sz val="10"/>
            <rFont val="Tahoma"/>
            <family val="2"/>
          </rPr>
          <t>, 108-111.</t>
        </r>
      </text>
    </comment>
    <comment ref="AT12" authorId="0">
      <text>
        <r>
          <rPr>
            <sz val="10"/>
            <rFont val="Tahoma"/>
            <family val="2"/>
          </rPr>
          <t>Lattice energy is multiplied by 1.05 because the ionic model underestimates lattice energies by about 5% in solids composed of ions having charges of +/-1.</t>
        </r>
      </text>
    </comment>
    <comment ref="E13" authorId="0">
      <text>
        <r>
          <rPr>
            <sz val="10"/>
            <rFont val="Tahoma"/>
            <family val="2"/>
          </rPr>
          <t>Number of atoms in a molecule.  The value is 1, except for P</t>
        </r>
        <r>
          <rPr>
            <vertAlign val="subscript"/>
            <sz val="10"/>
            <rFont val="Tahoma"/>
            <family val="2"/>
          </rPr>
          <t>4</t>
        </r>
        <r>
          <rPr>
            <sz val="10"/>
            <rFont val="Tahoma"/>
            <family val="2"/>
          </rPr>
          <t>, S</t>
        </r>
        <r>
          <rPr>
            <vertAlign val="subscript"/>
            <sz val="10"/>
            <rFont val="Tahoma"/>
            <family val="2"/>
          </rPr>
          <t>8</t>
        </r>
        <r>
          <rPr>
            <sz val="10"/>
            <rFont val="Tahoma"/>
            <family val="2"/>
          </rPr>
          <t>, and the diatomics.</t>
        </r>
      </text>
    </comment>
    <comment ref="AT13" authorId="0">
      <text>
        <r>
          <rPr>
            <sz val="10"/>
            <rFont val="Tahoma"/>
            <family val="2"/>
          </rPr>
          <t>Generally, the larger the difference between anion and cation sizes, the more soluble the compound.</t>
        </r>
      </text>
    </comment>
    <comment ref="P15" authorId="0">
      <text>
        <r>
          <rPr>
            <sz val="10"/>
            <rFont val="Tahoma"/>
            <family val="2"/>
          </rPr>
          <t xml:space="preserve">Most radii are from Shannon, R. D. "Revised Effective Ionic Radii and Systematic Studies of Interatomic Distances in Halides and Chalcogenides", </t>
        </r>
        <r>
          <rPr>
            <i/>
            <sz val="10"/>
            <rFont val="Tahoma"/>
            <family val="2"/>
          </rPr>
          <t xml:space="preserve">Acta. Crystallogr. </t>
        </r>
        <r>
          <rPr>
            <b/>
            <sz val="10"/>
            <rFont val="Tahoma"/>
            <family val="2"/>
          </rPr>
          <t>1976</t>
        </r>
        <r>
          <rPr>
            <sz val="10"/>
            <rFont val="Tahoma"/>
            <family val="2"/>
          </rPr>
          <t>,</t>
        </r>
        <r>
          <rPr>
            <i/>
            <sz val="10"/>
            <rFont val="Tahoma"/>
            <family val="2"/>
          </rPr>
          <t xml:space="preserve"> A32</t>
        </r>
        <r>
          <rPr>
            <sz val="10"/>
            <rFont val="Tahoma"/>
            <family val="2"/>
          </rPr>
          <t xml:space="preserve">, 751-767.  Some of the radii are negative.  Those are the results of the best fit.
sq = square planar; py = pyramidal
Alkali metal anion radii are from
Dye, J. L. "Alkali Metal Anions", </t>
        </r>
        <r>
          <rPr>
            <i/>
            <sz val="10"/>
            <rFont val="Tahoma"/>
            <family val="2"/>
          </rPr>
          <t>J. Chem. Educ.</t>
        </r>
        <r>
          <rPr>
            <sz val="10"/>
            <rFont val="Tahoma"/>
            <family val="2"/>
          </rPr>
          <t xml:space="preserve"> </t>
        </r>
        <r>
          <rPr>
            <b/>
            <sz val="10"/>
            <rFont val="Tahoma"/>
            <family val="2"/>
          </rPr>
          <t>1977</t>
        </r>
        <r>
          <rPr>
            <sz val="10"/>
            <rFont val="Tahoma"/>
            <family val="2"/>
          </rPr>
          <t xml:space="preserve">, </t>
        </r>
        <r>
          <rPr>
            <i/>
            <sz val="10"/>
            <rFont val="Tahoma"/>
            <family val="2"/>
          </rPr>
          <t>54</t>
        </r>
        <r>
          <rPr>
            <sz val="10"/>
            <rFont val="Tahoma"/>
            <family val="2"/>
          </rPr>
          <t>, 332-339.
Radii listed as (est.) are my estimates.</t>
        </r>
      </text>
    </comment>
    <comment ref="T22" authorId="0">
      <text>
        <r>
          <rPr>
            <sz val="10"/>
            <rFont val="Tahoma"/>
            <family val="2"/>
          </rPr>
          <t xml:space="preserve">NiAs is from 
Mestechkin, M. M.  "Electrostatic Parameters of Ionic Crystals", </t>
        </r>
        <r>
          <rPr>
            <i/>
            <sz val="10"/>
            <rFont val="Tahoma"/>
            <family val="2"/>
          </rPr>
          <t>J. Phys. Chem. Ref. Data</t>
        </r>
        <r>
          <rPr>
            <sz val="10"/>
            <rFont val="Tahoma"/>
            <family val="2"/>
          </rPr>
          <t xml:space="preserve">, </t>
        </r>
        <r>
          <rPr>
            <b/>
            <sz val="10"/>
            <rFont val="Tahoma"/>
            <family val="2"/>
          </rPr>
          <t>2000</t>
        </r>
        <r>
          <rPr>
            <sz val="10"/>
            <rFont val="Tahoma"/>
            <family val="2"/>
          </rPr>
          <t xml:space="preserve">, </t>
        </r>
        <r>
          <rPr>
            <i/>
            <sz val="10"/>
            <rFont val="Tahoma"/>
            <family val="2"/>
          </rPr>
          <t>29</t>
        </r>
        <r>
          <rPr>
            <sz val="10"/>
            <rFont val="Tahoma"/>
            <family val="2"/>
          </rPr>
          <t xml:space="preserve">, 571-595.
The value depends on the ratio of </t>
        </r>
        <r>
          <rPr>
            <i/>
            <sz val="10"/>
            <rFont val="Tahoma"/>
            <family val="2"/>
          </rPr>
          <t>a</t>
        </r>
        <r>
          <rPr>
            <sz val="10"/>
            <rFont val="Tahoma"/>
            <family val="2"/>
          </rPr>
          <t xml:space="preserve"> to </t>
        </r>
        <r>
          <rPr>
            <i/>
            <sz val="10"/>
            <rFont val="Tahoma"/>
            <family val="2"/>
          </rPr>
          <t>c</t>
        </r>
        <r>
          <rPr>
            <sz val="10"/>
            <rFont val="Tahoma"/>
            <family val="2"/>
          </rPr>
          <t xml:space="preserve"> in the unit cell</t>
        </r>
        <r>
          <rPr>
            <vertAlign val="subscript"/>
            <sz val="10"/>
            <rFont val="Tahoma"/>
            <family val="2"/>
          </rPr>
          <t>.</t>
        </r>
        <r>
          <rPr>
            <sz val="10"/>
            <rFont val="Tahoma"/>
            <family val="2"/>
          </rPr>
          <t xml:space="preserve">
BiF</t>
        </r>
        <r>
          <rPr>
            <vertAlign val="subscript"/>
            <sz val="10"/>
            <rFont val="Tahoma"/>
            <family val="2"/>
          </rPr>
          <t>3</t>
        </r>
        <r>
          <rPr>
            <sz val="10"/>
            <rFont val="Tahoma"/>
            <family val="2"/>
          </rPr>
          <t>, PtS, CdI</t>
        </r>
        <r>
          <rPr>
            <vertAlign val="subscript"/>
            <sz val="10"/>
            <rFont val="Tahoma"/>
            <family val="2"/>
          </rPr>
          <t>2</t>
        </r>
        <r>
          <rPr>
            <sz val="10"/>
            <rFont val="Tahoma"/>
            <family val="2"/>
          </rPr>
          <t>, and Cu</t>
        </r>
        <r>
          <rPr>
            <vertAlign val="subscript"/>
            <sz val="10"/>
            <rFont val="Tahoma"/>
            <family val="2"/>
          </rPr>
          <t>2</t>
        </r>
        <r>
          <rPr>
            <sz val="10"/>
            <rFont val="Tahoma"/>
            <family val="2"/>
          </rPr>
          <t xml:space="preserve">O are from
Waddington, T. C.  "Lattice Energies and Their Significance in Inorganic Chemistry", in </t>
        </r>
        <r>
          <rPr>
            <i/>
            <sz val="10"/>
            <rFont val="Tahoma"/>
            <family val="2"/>
          </rPr>
          <t>Advances in Inorganic Chemistry and Radiochemistry;</t>
        </r>
        <r>
          <rPr>
            <sz val="10"/>
            <rFont val="Tahoma"/>
            <family val="2"/>
          </rPr>
          <t xml:space="preserve"> Academic Press:  New York, 1959, vol 1, p. 158-221.
Another source of Madelung constants (not used here) is
Johnson, Q. C</t>
        </r>
        <r>
          <rPr>
            <vertAlign val="subscript"/>
            <sz val="10"/>
            <rFont val="Tahoma"/>
            <family val="2"/>
          </rPr>
          <t>.</t>
        </r>
        <r>
          <rPr>
            <sz val="10"/>
            <rFont val="Tahoma"/>
            <family val="2"/>
          </rPr>
          <t xml:space="preserve">; Templeton, D. H.  "Madelung Constants for Several Structures", </t>
        </r>
        <r>
          <rPr>
            <i/>
            <sz val="10"/>
            <rFont val="Tahoma"/>
            <family val="2"/>
          </rPr>
          <t>J. Chem. Phys</t>
        </r>
        <r>
          <rPr>
            <i/>
            <vertAlign val="subscript"/>
            <sz val="10"/>
            <rFont val="Tahoma"/>
            <family val="2"/>
          </rPr>
          <t>.</t>
        </r>
        <r>
          <rPr>
            <sz val="10"/>
            <rFont val="Tahoma"/>
            <family val="2"/>
          </rPr>
          <t xml:space="preserve">, </t>
        </r>
        <r>
          <rPr>
            <b/>
            <sz val="10"/>
            <rFont val="Tahoma"/>
            <family val="2"/>
          </rPr>
          <t>1961</t>
        </r>
        <r>
          <rPr>
            <sz val="10"/>
            <rFont val="Tahoma"/>
            <family val="2"/>
          </rPr>
          <t xml:space="preserve">, </t>
        </r>
        <r>
          <rPr>
            <i/>
            <sz val="10"/>
            <rFont val="Tahoma"/>
            <family val="2"/>
          </rPr>
          <t>34</t>
        </r>
        <r>
          <rPr>
            <sz val="10"/>
            <rFont val="Tahoma"/>
            <family val="2"/>
          </rPr>
          <t>, 2004-2007.
The Madelung constants for NaCl, CsCl, sphalerite, wurtzite, CaF</t>
        </r>
        <r>
          <rPr>
            <vertAlign val="subscript"/>
            <sz val="10"/>
            <rFont val="Tahoma"/>
            <family val="2"/>
          </rPr>
          <t>2</t>
        </r>
        <r>
          <rPr>
            <sz val="10"/>
            <rFont val="Tahoma"/>
            <family val="2"/>
          </rPr>
          <t>, Cu</t>
        </r>
        <r>
          <rPr>
            <vertAlign val="subscript"/>
            <sz val="10"/>
            <rFont val="Tahoma"/>
            <family val="2"/>
          </rPr>
          <t>2</t>
        </r>
        <r>
          <rPr>
            <sz val="10"/>
            <rFont val="Tahoma"/>
            <family val="2"/>
          </rPr>
          <t>O, and BiF</t>
        </r>
        <r>
          <rPr>
            <vertAlign val="subscript"/>
            <sz val="10"/>
            <rFont val="Tahoma"/>
            <family val="2"/>
          </rPr>
          <t>3</t>
        </r>
        <r>
          <rPr>
            <sz val="10"/>
            <rFont val="Tahoma"/>
            <family val="2"/>
          </rPr>
          <t xml:space="preserve"> structures do not vary with cell parameters.  The Madelung constants for NiAs, PtS, TiO</t>
        </r>
        <r>
          <rPr>
            <vertAlign val="subscript"/>
            <sz val="10"/>
            <rFont val="Tahoma"/>
            <family val="2"/>
          </rPr>
          <t>2</t>
        </r>
        <r>
          <rPr>
            <sz val="10"/>
            <rFont val="Tahoma"/>
            <family val="2"/>
          </rPr>
          <t>, SiO</t>
        </r>
        <r>
          <rPr>
            <vertAlign val="subscript"/>
            <sz val="10"/>
            <rFont val="Tahoma"/>
            <family val="2"/>
          </rPr>
          <t>2</t>
        </r>
        <r>
          <rPr>
            <sz val="10"/>
            <rFont val="Tahoma"/>
            <family val="2"/>
          </rPr>
          <t>, CdI</t>
        </r>
        <r>
          <rPr>
            <vertAlign val="subscript"/>
            <sz val="10"/>
            <rFont val="Tahoma"/>
            <family val="2"/>
          </rPr>
          <t>2</t>
        </r>
        <r>
          <rPr>
            <sz val="10"/>
            <rFont val="Tahoma"/>
            <family val="2"/>
          </rPr>
          <t>, and Al</t>
        </r>
        <r>
          <rPr>
            <vertAlign val="subscript"/>
            <sz val="10"/>
            <rFont val="Tahoma"/>
            <family val="2"/>
          </rPr>
          <t>2</t>
        </r>
        <r>
          <rPr>
            <sz val="10"/>
            <rFont val="Tahoma"/>
            <family val="2"/>
          </rPr>
          <t>O</t>
        </r>
        <r>
          <rPr>
            <vertAlign val="subscript"/>
            <sz val="10"/>
            <rFont val="Tahoma"/>
            <family val="2"/>
          </rPr>
          <t>3</t>
        </r>
        <r>
          <rPr>
            <sz val="10"/>
            <rFont val="Tahoma"/>
            <family val="2"/>
          </rPr>
          <t xml:space="preserve"> do vary with structure details (</t>
        </r>
        <r>
          <rPr>
            <i/>
            <sz val="10"/>
            <rFont val="Tahoma"/>
            <family val="2"/>
          </rPr>
          <t>i</t>
        </r>
        <r>
          <rPr>
            <i/>
            <vertAlign val="subscript"/>
            <sz val="10"/>
            <rFont val="Tahoma"/>
            <family val="2"/>
          </rPr>
          <t>.</t>
        </r>
        <r>
          <rPr>
            <i/>
            <sz val="10"/>
            <rFont val="Tahoma"/>
            <family val="2"/>
          </rPr>
          <t>e</t>
        </r>
        <r>
          <rPr>
            <i/>
            <vertAlign val="subscript"/>
            <sz val="10"/>
            <rFont val="Tahoma"/>
            <family val="2"/>
          </rPr>
          <t>.</t>
        </r>
        <r>
          <rPr>
            <sz val="10"/>
            <rFont val="Tahoma"/>
            <family val="2"/>
          </rPr>
          <t xml:space="preserve">, with the </t>
        </r>
        <r>
          <rPr>
            <i/>
            <sz val="10"/>
            <rFont val="Tahoma"/>
            <family val="2"/>
          </rPr>
          <t>c/a</t>
        </r>
        <r>
          <rPr>
            <sz val="10"/>
            <rFont val="Tahoma"/>
            <family val="2"/>
          </rPr>
          <t xml:space="preserve"> ratio).</t>
        </r>
      </text>
    </comment>
    <comment ref="AA22" authorId="0">
      <text>
        <r>
          <rPr>
            <sz val="10"/>
            <rFont val="Tahoma"/>
            <family val="2"/>
          </rPr>
          <t>The "Reduced" value is:
   _</t>
        </r>
        <r>
          <rPr>
            <u val="single"/>
            <sz val="10"/>
            <rFont val="Tahoma"/>
            <family val="2"/>
          </rPr>
          <t>Madelung constant X 2__</t>
        </r>
        <r>
          <rPr>
            <sz val="10"/>
            <rFont val="Tahoma"/>
            <family val="2"/>
          </rPr>
          <t xml:space="preserve">
    (# of ions in formula unit)</t>
        </r>
      </text>
    </comment>
    <comment ref="S28" authorId="0">
      <text>
        <r>
          <rPr>
            <sz val="10"/>
            <rFont val="Tahoma"/>
            <family val="2"/>
          </rPr>
          <t>square planar platinum; tetrahedral sulfur (approximately)</t>
        </r>
      </text>
    </comment>
    <comment ref="S32" authorId="0">
      <text>
        <r>
          <rPr>
            <sz val="10"/>
            <rFont val="Tahoma"/>
            <family val="2"/>
          </rPr>
          <t>layer structure</t>
        </r>
      </text>
    </comment>
    <comment ref="M37" authorId="0">
      <text>
        <r>
          <rPr>
            <sz val="10"/>
            <rFont val="Tahoma"/>
            <family val="2"/>
          </rPr>
          <t xml:space="preserve">From:
Huheey, J. E.; Keitner, E. A.; Keitner, R. L.  </t>
        </r>
        <r>
          <rPr>
            <i/>
            <sz val="10"/>
            <rFont val="Tahoma"/>
            <family val="2"/>
          </rPr>
          <t>Inorganic Chemistry:  Principles of Structure and Reactivity</t>
        </r>
        <r>
          <rPr>
            <sz val="10"/>
            <rFont val="Tahoma"/>
            <family val="2"/>
          </rPr>
          <t xml:space="preserve">, 4th ed., HarperCollins:  New York, 1993.
and 
Shriver, D.; Atkins, P. </t>
        </r>
        <r>
          <rPr>
            <i/>
            <sz val="10"/>
            <rFont val="Tahoma"/>
            <family val="2"/>
          </rPr>
          <t>Inorganic Chemistry</t>
        </r>
        <r>
          <rPr>
            <sz val="10"/>
            <rFont val="Tahoma"/>
            <family val="2"/>
          </rPr>
          <t>, 3rd ed.; Freeman:  New York, 1999.
See also:
http://physics.nist.gov/PhysRefData/IonEnergy/ionEnergy.html
and
http://physics.nist.gov/PhysRefData/ASD1/nist_atomic_spectra.html</t>
        </r>
      </text>
    </comment>
    <comment ref="AA37" authorId="0">
      <text>
        <r>
          <rPr>
            <sz val="10"/>
            <rFont val="Tahoma"/>
            <family val="2"/>
          </rPr>
          <t>The average "Reduced" Madelung constant.</t>
        </r>
      </text>
    </comment>
    <comment ref="C38" authorId="0">
      <text>
        <r>
          <rPr>
            <b/>
            <sz val="10"/>
            <rFont val="Tahoma"/>
            <family val="2"/>
          </rPr>
          <t>Sources:</t>
        </r>
        <r>
          <rPr>
            <sz val="8"/>
            <rFont val="Tahoma"/>
            <family val="2"/>
          </rPr>
          <t xml:space="preserve">
</t>
        </r>
        <r>
          <rPr>
            <sz val="10"/>
            <rFont val="Tahoma"/>
            <family val="2"/>
          </rPr>
          <t xml:space="preserve">Chase, M. W., Ed.  </t>
        </r>
        <r>
          <rPr>
            <i/>
            <sz val="10"/>
            <rFont val="Tahoma"/>
            <family val="2"/>
          </rPr>
          <t>NIST-JANAF Thermochemical Tables</t>
        </r>
        <r>
          <rPr>
            <sz val="10"/>
            <rFont val="Tahoma"/>
            <family val="2"/>
          </rPr>
          <t xml:space="preserve">, 4th ed.; American Institute of Physics:  New York, 1998.
CODATA:
Cox, J. D., Wagman, D. D., and Medvedev, V. A., </t>
        </r>
        <r>
          <rPr>
            <i/>
            <sz val="10"/>
            <rFont val="Tahoma"/>
            <family val="2"/>
          </rPr>
          <t>CODATA Key Values for Thermodynamics</t>
        </r>
        <r>
          <rPr>
            <sz val="10"/>
            <rFont val="Tahoma"/>
            <family val="2"/>
          </rPr>
          <t xml:space="preserve">, Hemisphere Publishing Corp., New York, 1989.  
This data was obtained from www.codata.org.
NBS:
R.H. Schumm, D.D. Wagman, S. Bailey, W.H. Evans, and V.B. Parker in National Bureau of Standards (USA) Technical Notes 270-1 to 270-8, 1973.
This data was obtained from www.webelements.com.
Bennewies:
Binnewies, M., Milke, E.  </t>
        </r>
        <r>
          <rPr>
            <i/>
            <sz val="10"/>
            <rFont val="Tahoma"/>
            <family val="2"/>
          </rPr>
          <t>Thermochemical Data of Elements and Compounds</t>
        </r>
        <r>
          <rPr>
            <sz val="10"/>
            <rFont val="Tahoma"/>
            <family val="2"/>
          </rPr>
          <t xml:space="preserve">  New York:  Wiley-VCH, 1999</t>
        </r>
      </text>
    </comment>
    <comment ref="AR51" authorId="0">
      <text>
        <r>
          <rPr>
            <sz val="10"/>
            <rFont val="Tahoma"/>
            <family val="2"/>
          </rPr>
          <t>Place descriptor on side of the line having the most space.</t>
        </r>
      </text>
    </comment>
    <comment ref="C53" authorId="0">
      <text>
        <r>
          <rPr>
            <sz val="8"/>
            <rFont val="Tahoma"/>
            <family val="2"/>
          </rPr>
          <t>Reference state is graphite.</t>
        </r>
      </text>
    </comment>
    <comment ref="AQ58" authorId="0">
      <text>
        <r>
          <rPr>
            <sz val="10"/>
            <rFont val="Tahoma"/>
            <family val="2"/>
          </rPr>
          <t>If statement; if electron gain is favorable, line is drawn on the right side; otherwise, on the left side.</t>
        </r>
      </text>
    </comment>
    <comment ref="C81" authorId="0">
      <text>
        <r>
          <rPr>
            <b/>
            <sz val="8"/>
            <rFont val="Tahoma"/>
            <family val="0"/>
          </rPr>
          <t>Christopher King:</t>
        </r>
        <r>
          <rPr>
            <sz val="8"/>
            <rFont val="Tahoma"/>
            <family val="0"/>
          </rPr>
          <t xml:space="preserve">
In</t>
        </r>
        <r>
          <rPr>
            <vertAlign val="subscript"/>
            <sz val="8"/>
            <rFont val="Tahoma"/>
            <family val="2"/>
          </rPr>
          <t>2</t>
        </r>
        <r>
          <rPr>
            <sz val="8"/>
            <rFont val="Tahoma"/>
            <family val="0"/>
          </rPr>
          <t xml:space="preserve"> is listed as 380.9; they may be switched.</t>
        </r>
      </text>
    </comment>
    <comment ref="C102" authorId="0">
      <text>
        <r>
          <rPr>
            <sz val="8"/>
            <rFont val="Tahoma"/>
            <family val="2"/>
          </rPr>
          <t>The reference state is white phosphorus.</t>
        </r>
      </text>
    </comment>
    <comment ref="C117" authorId="0">
      <text>
        <r>
          <rPr>
            <sz val="8"/>
            <rFont val="Tahoma"/>
            <family val="2"/>
          </rPr>
          <t>Relative to orthorhombic sulfur.</t>
        </r>
      </text>
    </comment>
  </commentList>
</comments>
</file>

<file path=xl/comments2.xml><?xml version="1.0" encoding="utf-8"?>
<comments xmlns="http://schemas.openxmlformats.org/spreadsheetml/2006/main">
  <authors>
    <author>Christopher King</author>
  </authors>
  <commentList>
    <comment ref="G145" authorId="0">
      <text>
        <r>
          <rPr>
            <sz val="8"/>
            <rFont val="Tahoma"/>
            <family val="0"/>
          </rPr>
          <t xml:space="preserve">There are from Huheey's book, </t>
        </r>
        <r>
          <rPr>
            <i/>
            <sz val="8"/>
            <rFont val="Tahoma"/>
            <family val="2"/>
          </rPr>
          <t>Inorganic Chemistry</t>
        </r>
        <r>
          <rPr>
            <sz val="8"/>
            <rFont val="Tahoma"/>
            <family val="0"/>
          </rPr>
          <t xml:space="preserve">, 4th ed.; Harper Collins:  New York, </t>
        </r>
        <r>
          <rPr>
            <b/>
            <sz val="8"/>
            <rFont val="Tahoma"/>
            <family val="2"/>
          </rPr>
          <t>1993</t>
        </r>
        <r>
          <rPr>
            <sz val="8"/>
            <rFont val="Tahoma"/>
            <family val="0"/>
          </rPr>
          <t>, p. 190.</t>
        </r>
      </text>
    </comment>
    <comment ref="H145" authorId="0">
      <text>
        <r>
          <rPr>
            <sz val="8"/>
            <rFont val="Tahoma"/>
            <family val="0"/>
          </rPr>
          <t xml:space="preserve">Gordy, W.; Thomas, W. J. O.  "Electronegativities of the Elements", </t>
        </r>
        <r>
          <rPr>
            <i/>
            <sz val="8"/>
            <rFont val="Tahoma"/>
            <family val="2"/>
          </rPr>
          <t>J. Chem. Phys.</t>
        </r>
        <r>
          <rPr>
            <sz val="8"/>
            <rFont val="Tahoma"/>
            <family val="2"/>
          </rPr>
          <t xml:space="preserve">; </t>
        </r>
        <r>
          <rPr>
            <b/>
            <sz val="8"/>
            <rFont val="Tahoma"/>
            <family val="2"/>
          </rPr>
          <t>1956</t>
        </r>
        <r>
          <rPr>
            <sz val="8"/>
            <rFont val="Tahoma"/>
            <family val="2"/>
          </rPr>
          <t xml:space="preserve">, </t>
        </r>
        <r>
          <rPr>
            <i/>
            <sz val="8"/>
            <rFont val="Tahoma"/>
            <family val="2"/>
          </rPr>
          <t>24</t>
        </r>
        <r>
          <rPr>
            <sz val="8"/>
            <rFont val="Tahoma"/>
            <family val="2"/>
          </rPr>
          <t>, 439-444.
These workers evaluated electronegativities from several sources and selected "preferred" values.  These are the values originally used by Mooser and Pearson.</t>
        </r>
      </text>
    </comment>
    <comment ref="C45" authorId="0">
      <text>
        <r>
          <rPr>
            <sz val="10"/>
            <rFont val="Tahoma"/>
            <family val="2"/>
          </rPr>
          <t>The CsCl structure is also found in many intermetallic compounds, such as CdAg, CeCd, and PrZn.</t>
        </r>
      </text>
    </comment>
    <comment ref="C142" authorId="0">
      <text>
        <r>
          <rPr>
            <sz val="8"/>
            <rFont val="Tahoma"/>
            <family val="2"/>
          </rPr>
          <t>Also crystallizes in the diamond structure (but not in the wurtzite structure).</t>
        </r>
      </text>
    </comment>
    <comment ref="O46" authorId="0">
      <text>
        <r>
          <rPr>
            <sz val="8"/>
            <rFont val="Tahoma"/>
            <family val="0"/>
          </rPr>
          <t>Many more examples are known than are included.</t>
        </r>
      </text>
    </comment>
  </commentList>
</comments>
</file>

<file path=xl/comments3.xml><?xml version="1.0" encoding="utf-8"?>
<comments xmlns="http://schemas.openxmlformats.org/spreadsheetml/2006/main">
  <authors>
    <author>Christopher King</author>
  </authors>
  <commentList>
    <comment ref="A174" authorId="0">
      <text>
        <r>
          <rPr>
            <sz val="8"/>
            <rFont val="Tahoma"/>
            <family val="0"/>
          </rPr>
          <t xml:space="preserve">V. M. Goldschmidt, </t>
        </r>
        <r>
          <rPr>
            <i/>
            <sz val="8"/>
            <rFont val="Tahoma"/>
            <family val="2"/>
          </rPr>
          <t>Skrifter Norske Videnskaps-Akad</t>
        </r>
        <r>
          <rPr>
            <sz val="8"/>
            <rFont val="Tahoma"/>
            <family val="0"/>
          </rPr>
          <t xml:space="preserve">, Oslo, I, Mat. -Naturn. K1, </t>
        </r>
        <r>
          <rPr>
            <sz val="8"/>
            <rFont val="Tahoma"/>
            <family val="2"/>
          </rPr>
          <t>1926</t>
        </r>
      </text>
    </comment>
    <comment ref="A18" authorId="0">
      <text>
        <r>
          <rPr>
            <sz val="8"/>
            <rFont val="Tahoma"/>
            <family val="2"/>
          </rPr>
          <t>These authors recommend using Goldschmidt radii for monoatomic cations.  Those radii are at the end of this list.</t>
        </r>
      </text>
    </comment>
    <comment ref="D11" authorId="0">
      <text>
        <r>
          <rPr>
            <sz val="8"/>
            <rFont val="Tahoma"/>
            <family val="0"/>
          </rPr>
          <t xml:space="preserve">The uncertainty is based on the uncertainty of the radii.  The equation was obtained by application of the propagation of errors formula, found in many analytical chemistry books.
</t>
        </r>
      </text>
    </comment>
    <comment ref="A104" authorId="0">
      <text>
        <r>
          <rPr>
            <sz val="8"/>
            <rFont val="Tahoma"/>
            <family val="2"/>
          </rPr>
          <t xml:space="preserve">Listed as anion in cation list on both web site and in </t>
        </r>
        <r>
          <rPr>
            <i/>
            <sz val="8"/>
            <rFont val="Tahoma"/>
            <family val="2"/>
          </rPr>
          <t>J. Chem. Educ.</t>
        </r>
        <r>
          <rPr>
            <sz val="8"/>
            <rFont val="Tahoma"/>
            <family val="2"/>
          </rPr>
          <t xml:space="preserve"> Paper.</t>
        </r>
      </text>
    </comment>
    <comment ref="G8" authorId="0">
      <text>
        <r>
          <rPr>
            <sz val="8"/>
            <rFont val="Tahoma"/>
            <family val="0"/>
          </rPr>
          <t>On non-English locale computers, "GCD" (greatest common denominator) in this cell may have to be changed.  For example, on Spanish computers, it has to be changed to "MCD".</t>
        </r>
      </text>
    </comment>
  </commentList>
</comments>
</file>

<file path=xl/comments4.xml><?xml version="1.0" encoding="utf-8"?>
<comments xmlns="http://schemas.openxmlformats.org/spreadsheetml/2006/main">
  <authors>
    <author>Christopher King</author>
  </authors>
  <commentList>
    <comment ref="B88" authorId="0">
      <text>
        <r>
          <rPr>
            <sz val="8"/>
            <rFont val="Tahoma"/>
            <family val="2"/>
          </rPr>
          <t xml:space="preserve">Hudson, R. L. "Thermochemistry, Dilithium Crystals, and Star Trek", </t>
        </r>
        <r>
          <rPr>
            <i/>
            <sz val="8"/>
            <rFont val="Tahoma"/>
            <family val="2"/>
          </rPr>
          <t>J. Chem. Educ.</t>
        </r>
        <r>
          <rPr>
            <sz val="8"/>
            <rFont val="Tahoma"/>
            <family val="2"/>
          </rPr>
          <t xml:space="preserve">, </t>
        </r>
        <r>
          <rPr>
            <b/>
            <sz val="8"/>
            <rFont val="Tahoma"/>
            <family val="2"/>
          </rPr>
          <t>1987</t>
        </r>
        <r>
          <rPr>
            <sz val="8"/>
            <rFont val="Tahoma"/>
            <family val="2"/>
          </rPr>
          <t xml:space="preserve">, </t>
        </r>
        <r>
          <rPr>
            <i/>
            <sz val="8"/>
            <rFont val="Tahoma"/>
            <family val="2"/>
          </rPr>
          <t>64</t>
        </r>
        <r>
          <rPr>
            <sz val="8"/>
            <rFont val="Tahoma"/>
            <family val="2"/>
          </rPr>
          <t>, 1039-1040.</t>
        </r>
      </text>
    </comment>
    <comment ref="C124" authorId="0">
      <text>
        <r>
          <rPr>
            <sz val="9"/>
            <rFont val="Tahoma"/>
            <family val="2"/>
          </rPr>
          <t xml:space="preserve">At this page, choose "English"; from the next page, click on the "Welcome" button.  After you locate a compound, click on the "Structure" link at the very top of the page.  To view the structure requires jave, which is available at java.sun.com.  </t>
        </r>
      </text>
    </comment>
  </commentList>
</comments>
</file>

<file path=xl/comments5.xml><?xml version="1.0" encoding="utf-8"?>
<comments xmlns="http://schemas.openxmlformats.org/spreadsheetml/2006/main">
  <authors>
    <author>Christopher King</author>
  </authors>
  <commentList>
    <comment ref="D116" authorId="0">
      <text>
        <r>
          <rPr>
            <sz val="8"/>
            <rFont val="Tahoma"/>
            <family val="0"/>
          </rPr>
          <t xml:space="preserve">H. D. B. Jenkins, "Lattice Energies", </t>
        </r>
        <r>
          <rPr>
            <i/>
            <sz val="8"/>
            <rFont val="Tahoma"/>
            <family val="2"/>
          </rPr>
          <t>Handbook of Chemistry and Physics</t>
        </r>
        <r>
          <rPr>
            <sz val="8"/>
            <rFont val="Tahoma"/>
            <family val="0"/>
          </rPr>
          <t xml:space="preserve">, 76th ed.; CRC Press:  New York, 1999, p. </t>
        </r>
        <r>
          <rPr>
            <b/>
            <sz val="8"/>
            <rFont val="Tahoma"/>
            <family val="2"/>
          </rPr>
          <t>12</t>
        </r>
        <r>
          <rPr>
            <sz val="8"/>
            <rFont val="Tahoma"/>
            <family val="0"/>
          </rPr>
          <t xml:space="preserve">-19 to </t>
        </r>
        <r>
          <rPr>
            <b/>
            <sz val="8"/>
            <rFont val="Tahoma"/>
            <family val="2"/>
          </rPr>
          <t>12</t>
        </r>
        <r>
          <rPr>
            <sz val="8"/>
            <rFont val="Tahoma"/>
            <family val="2"/>
          </rPr>
          <t>-29</t>
        </r>
        <r>
          <rPr>
            <sz val="8"/>
            <rFont val="Tahoma"/>
            <family val="0"/>
          </rPr>
          <t>.</t>
        </r>
      </text>
    </comment>
    <comment ref="B154" authorId="0">
      <text>
        <r>
          <rPr>
            <sz val="8"/>
            <rFont val="Tahoma"/>
            <family val="0"/>
          </rPr>
          <t xml:space="preserve">"Enthalpy of Solution of Electrolytes", </t>
        </r>
        <r>
          <rPr>
            <i/>
            <sz val="8"/>
            <rFont val="Tahoma"/>
            <family val="2"/>
          </rPr>
          <t>Handbook of Chemistry and Physics</t>
        </r>
        <r>
          <rPr>
            <sz val="8"/>
            <rFont val="Tahoma"/>
            <family val="0"/>
          </rPr>
          <t xml:space="preserve">, 76th ed.; CRC Press:  New York, 1999, p. </t>
        </r>
        <r>
          <rPr>
            <b/>
            <sz val="8"/>
            <rFont val="Tahoma"/>
            <family val="2"/>
          </rPr>
          <t>5</t>
        </r>
        <r>
          <rPr>
            <sz val="8"/>
            <rFont val="Tahoma"/>
            <family val="0"/>
          </rPr>
          <t>-100.</t>
        </r>
      </text>
    </comment>
    <comment ref="C154" authorId="0">
      <text>
        <r>
          <rPr>
            <sz val="10"/>
            <rFont val="Symbol"/>
            <family val="1"/>
          </rPr>
          <t>D</t>
        </r>
        <r>
          <rPr>
            <i/>
            <sz val="10"/>
            <rFont val="Tahoma"/>
            <family val="2"/>
          </rPr>
          <t>H</t>
        </r>
        <r>
          <rPr>
            <vertAlign val="subscript"/>
            <sz val="10"/>
            <rFont val="Tahoma"/>
            <family val="2"/>
          </rPr>
          <t>hyd</t>
        </r>
        <r>
          <rPr>
            <sz val="10"/>
            <rFont val="Tahoma"/>
            <family val="2"/>
          </rPr>
          <t xml:space="preserve"> = </t>
        </r>
        <r>
          <rPr>
            <sz val="10"/>
            <rFont val="Symbol"/>
            <family val="1"/>
          </rPr>
          <t>D</t>
        </r>
        <r>
          <rPr>
            <i/>
            <sz val="10"/>
            <rFont val="Tahoma"/>
            <family val="2"/>
          </rPr>
          <t>H</t>
        </r>
        <r>
          <rPr>
            <vertAlign val="subscript"/>
            <sz val="10"/>
            <rFont val="Tahoma"/>
            <family val="2"/>
          </rPr>
          <t>sol</t>
        </r>
        <r>
          <rPr>
            <sz val="10"/>
            <rFont val="Tahoma"/>
            <family val="2"/>
          </rPr>
          <t xml:space="preserve"> - Lattice Energy;
   </t>
        </r>
        <r>
          <rPr>
            <sz val="10"/>
            <rFont val="Symbol"/>
            <family val="1"/>
          </rPr>
          <t>D</t>
        </r>
        <r>
          <rPr>
            <i/>
            <sz val="10"/>
            <rFont val="Tahoma"/>
            <family val="2"/>
          </rPr>
          <t>H</t>
        </r>
        <r>
          <rPr>
            <vertAlign val="subscript"/>
            <sz val="10"/>
            <rFont val="Tahoma"/>
            <family val="2"/>
          </rPr>
          <t>sol</t>
        </r>
        <r>
          <rPr>
            <sz val="10"/>
            <rFont val="Tahoma"/>
            <family val="2"/>
          </rPr>
          <t xml:space="preserve"> is on the left.
   Lattice energies are given above.
   Units are kJ/mol.</t>
        </r>
      </text>
    </comment>
    <comment ref="M147" authorId="0">
      <text>
        <r>
          <rPr>
            <sz val="9"/>
            <rFont val="Tahoma"/>
            <family val="2"/>
          </rPr>
          <t xml:space="preserve">From Douglas, B.; McDaniel, D.; Alexander, J.  </t>
        </r>
        <r>
          <rPr>
            <i/>
            <sz val="9"/>
            <rFont val="Tahoma"/>
            <family val="2"/>
          </rPr>
          <t>Concepts and Models of Inorganic Chemistry</t>
        </r>
        <r>
          <rPr>
            <sz val="9"/>
            <rFont val="Tahoma"/>
            <family val="2"/>
          </rPr>
          <t xml:space="preserve">, 3rd ed.; Wiley:  New York, 1994, p. 237.
Anion and cation radii are adjusted by adding constants to them, as described by Latimer, W. M.; Pitzer, K. S.; Slansky, "Free Energy of Hydration of Gaseous Ions, and the Absolute Potential of the Normal Calomel Electrode", C. M. </t>
        </r>
        <r>
          <rPr>
            <i/>
            <sz val="9"/>
            <rFont val="Tahoma"/>
            <family val="2"/>
          </rPr>
          <t>J. Chem. Phys.,</t>
        </r>
        <r>
          <rPr>
            <sz val="9"/>
            <rFont val="Tahoma"/>
            <family val="2"/>
          </rPr>
          <t xml:space="preserve"> </t>
        </r>
        <r>
          <rPr>
            <b/>
            <sz val="9"/>
            <rFont val="Tahoma"/>
            <family val="2"/>
          </rPr>
          <t>1939</t>
        </r>
        <r>
          <rPr>
            <sz val="9"/>
            <rFont val="Tahoma"/>
            <family val="2"/>
          </rPr>
          <t xml:space="preserve">, </t>
        </r>
        <r>
          <rPr>
            <i/>
            <sz val="9"/>
            <rFont val="Tahoma"/>
            <family val="2"/>
          </rPr>
          <t>7</t>
        </r>
        <r>
          <rPr>
            <sz val="9"/>
            <rFont val="Tahoma"/>
            <family val="2"/>
          </rPr>
          <t>, 108-111.</t>
        </r>
      </text>
    </comment>
    <comment ref="M183" authorId="0">
      <text>
        <r>
          <rPr>
            <sz val="8"/>
            <rFont val="Tahoma"/>
            <family val="2"/>
          </rPr>
          <t xml:space="preserve">Wulfsberg, G. </t>
        </r>
        <r>
          <rPr>
            <i/>
            <sz val="8"/>
            <rFont val="Tahoma"/>
            <family val="2"/>
          </rPr>
          <t>Inorganic Chemistry</t>
        </r>
        <r>
          <rPr>
            <sz val="8"/>
            <rFont val="Tahoma"/>
            <family val="2"/>
          </rPr>
          <t>; University Science Books:  Sausalito, CA, 2000, pp 57, 69.</t>
        </r>
      </text>
    </comment>
    <comment ref="F153" authorId="0">
      <text>
        <r>
          <rPr>
            <sz val="9"/>
            <rFont val="Tahoma"/>
            <family val="2"/>
          </rPr>
          <t>These calculated values depend on the ionic radii, given on the left.</t>
        </r>
      </text>
    </comment>
    <comment ref="H153" authorId="0">
      <text>
        <r>
          <rPr>
            <sz val="9"/>
            <rFont val="Tahoma"/>
            <family val="2"/>
          </rPr>
          <t>Sum of the two columns on the left</t>
        </r>
      </text>
    </comment>
    <comment ref="E184" authorId="0">
      <text>
        <r>
          <rPr>
            <sz val="8"/>
            <rFont val="Tahoma"/>
            <family val="2"/>
          </rPr>
          <t xml:space="preserve">Wulfsberg, G. </t>
        </r>
        <r>
          <rPr>
            <i/>
            <sz val="8"/>
            <rFont val="Tahoma"/>
            <family val="2"/>
          </rPr>
          <t>Inorganic Chemistry</t>
        </r>
        <r>
          <rPr>
            <sz val="8"/>
            <rFont val="Tahoma"/>
            <family val="2"/>
          </rPr>
          <t>; University Science Books:  Sausalito, CA, 2000, pp 57, 69.</t>
        </r>
      </text>
    </comment>
    <comment ref="F194" authorId="0">
      <text>
        <r>
          <rPr>
            <sz val="8"/>
            <rFont val="Tahoma"/>
            <family val="2"/>
          </rPr>
          <t>This is an array formula:  it is entered by pressing Ctrl-Shift-Enter.</t>
        </r>
      </text>
    </comment>
    <comment ref="P186" authorId="0">
      <text>
        <r>
          <rPr>
            <b/>
            <sz val="8"/>
            <rFont val="Tahoma"/>
            <family val="0"/>
          </rPr>
          <t>Christopher King:</t>
        </r>
        <r>
          <rPr>
            <sz val="8"/>
            <rFont val="Tahoma"/>
            <family val="0"/>
          </rPr>
          <t xml:space="preserve">
The rest of these are from M. Chase.</t>
        </r>
      </text>
    </comment>
    <comment ref="Y158" authorId="0">
      <text>
        <r>
          <rPr>
            <b/>
            <sz val="8"/>
            <rFont val="Tahoma"/>
            <family val="0"/>
          </rPr>
          <t>Christopher King:</t>
        </r>
        <r>
          <rPr>
            <sz val="8"/>
            <rFont val="Tahoma"/>
            <family val="0"/>
          </rPr>
          <t xml:space="preserve">
The rest of these are from M. Chase.</t>
        </r>
      </text>
    </comment>
    <comment ref="U154" authorId="0">
      <text>
        <r>
          <rPr>
            <b/>
            <sz val="8"/>
            <rFont val="Tahoma"/>
            <family val="0"/>
          </rPr>
          <t>Christopher King:</t>
        </r>
        <r>
          <rPr>
            <sz val="8"/>
            <rFont val="Tahoma"/>
            <family val="0"/>
          </rPr>
          <t xml:space="preserve">
The rest of these are from M. Chase.</t>
        </r>
      </text>
    </comment>
    <comment ref="AE114" authorId="0">
      <text>
        <r>
          <rPr>
            <b/>
            <sz val="8"/>
            <rFont val="Tahoma"/>
            <family val="0"/>
          </rPr>
          <t>Christopher King:</t>
        </r>
        <r>
          <rPr>
            <sz val="8"/>
            <rFont val="Tahoma"/>
            <family val="0"/>
          </rPr>
          <t xml:space="preserve">
Entered as 1820 in Gmelin's paper.  I assume it was meant to be 18200.</t>
        </r>
      </text>
    </comment>
    <comment ref="AR88" authorId="0">
      <text>
        <r>
          <rPr>
            <sz val="8"/>
            <rFont val="Tahoma"/>
            <family val="2"/>
          </rPr>
          <t xml:space="preserve">Taylor, A. R., Jr.; Gardner, T. E.; Smith, D. F.  "Thermodynamic Properties of Cesium Chloride and Cesium Iodide From 0 to 300 K" </t>
        </r>
        <r>
          <rPr>
            <i/>
            <sz val="8"/>
            <rFont val="Tahoma"/>
            <family val="2"/>
          </rPr>
          <t xml:space="preserve"> U. S. Bur. Mines, Rep. Invest.</t>
        </r>
        <r>
          <rPr>
            <sz val="8"/>
            <rFont val="Tahoma"/>
            <family val="2"/>
          </rPr>
          <t xml:space="preserve">  6157.  </t>
        </r>
        <r>
          <rPr>
            <b/>
            <sz val="8"/>
            <rFont val="Tahoma"/>
            <family val="2"/>
          </rPr>
          <t>1963</t>
        </r>
        <r>
          <rPr>
            <sz val="8"/>
            <rFont val="Tahoma"/>
            <family val="2"/>
          </rPr>
          <t>.</t>
        </r>
      </text>
    </comment>
    <comment ref="AM88" authorId="0">
      <text>
        <r>
          <rPr>
            <sz val="8"/>
            <rFont val="Tahoma"/>
            <family val="2"/>
          </rPr>
          <t xml:space="preserve">Taylor, A. R., Jr.; Gardner, T. E.; Smith, D. F.  "Thermodynamic Properties of Cesium Chloride and Cesium Iodide From 0 to 300 K" </t>
        </r>
        <r>
          <rPr>
            <i/>
            <sz val="8"/>
            <rFont val="Tahoma"/>
            <family val="2"/>
          </rPr>
          <t xml:space="preserve"> U. S. Bur. Mines, Rep. Invest.</t>
        </r>
        <r>
          <rPr>
            <sz val="8"/>
            <rFont val="Tahoma"/>
            <family val="2"/>
          </rPr>
          <t xml:space="preserve">  6157.  </t>
        </r>
        <r>
          <rPr>
            <b/>
            <sz val="8"/>
            <rFont val="Tahoma"/>
            <family val="2"/>
          </rPr>
          <t>1963</t>
        </r>
        <r>
          <rPr>
            <sz val="8"/>
            <rFont val="Tahoma"/>
            <family val="2"/>
          </rPr>
          <t>.</t>
        </r>
      </text>
    </comment>
    <comment ref="AI88" authorId="0">
      <text>
        <r>
          <rPr>
            <sz val="8"/>
            <rFont val="Tahoma"/>
            <family val="2"/>
          </rPr>
          <t xml:space="preserve">Gmelin, E. </t>
        </r>
        <r>
          <rPr>
            <i/>
            <sz val="8"/>
            <rFont val="Tahoma"/>
            <family val="2"/>
          </rPr>
          <t>Z. Naturforsch.</t>
        </r>
        <r>
          <rPr>
            <sz val="8"/>
            <rFont val="Tahoma"/>
            <family val="2"/>
          </rPr>
          <t xml:space="preserve">  </t>
        </r>
        <r>
          <rPr>
            <b/>
            <sz val="8"/>
            <rFont val="Tahoma"/>
            <family val="2"/>
          </rPr>
          <t>1969</t>
        </r>
        <r>
          <rPr>
            <sz val="8"/>
            <rFont val="Tahoma"/>
            <family val="2"/>
          </rPr>
          <t xml:space="preserve">, </t>
        </r>
        <r>
          <rPr>
            <i/>
            <sz val="8"/>
            <rFont val="Tahoma"/>
            <family val="2"/>
          </rPr>
          <t>24a</t>
        </r>
        <r>
          <rPr>
            <sz val="8"/>
            <rFont val="Tahoma"/>
            <family val="2"/>
          </rPr>
          <t>, 1794-1800.</t>
        </r>
      </text>
    </comment>
    <comment ref="AE88" authorId="0">
      <text>
        <r>
          <rPr>
            <sz val="8"/>
            <rFont val="Tahoma"/>
            <family val="2"/>
          </rPr>
          <t xml:space="preserve">Gmelin, E. </t>
        </r>
        <r>
          <rPr>
            <i/>
            <sz val="8"/>
            <rFont val="Tahoma"/>
            <family val="2"/>
          </rPr>
          <t>Z. Naturforsch.</t>
        </r>
        <r>
          <rPr>
            <sz val="8"/>
            <rFont val="Tahoma"/>
            <family val="2"/>
          </rPr>
          <t xml:space="preserve">  </t>
        </r>
        <r>
          <rPr>
            <b/>
            <sz val="8"/>
            <rFont val="Tahoma"/>
            <family val="2"/>
          </rPr>
          <t>1969</t>
        </r>
        <r>
          <rPr>
            <sz val="8"/>
            <rFont val="Tahoma"/>
            <family val="2"/>
          </rPr>
          <t xml:space="preserve">, </t>
        </r>
        <r>
          <rPr>
            <i/>
            <sz val="8"/>
            <rFont val="Tahoma"/>
            <family val="2"/>
          </rPr>
          <t>24a</t>
        </r>
        <r>
          <rPr>
            <sz val="8"/>
            <rFont val="Tahoma"/>
            <family val="2"/>
          </rPr>
          <t>, 1794-1800.</t>
        </r>
      </text>
    </comment>
    <comment ref="Z88" authorId="0">
      <text>
        <r>
          <rPr>
            <sz val="8"/>
            <rFont val="Tahoma"/>
            <family val="2"/>
          </rPr>
          <t xml:space="preserve">Shirley, D. A. </t>
        </r>
        <r>
          <rPr>
            <i/>
            <sz val="8"/>
            <rFont val="Tahoma"/>
            <family val="2"/>
          </rPr>
          <t>J. Amer. Chem. Soc.</t>
        </r>
        <r>
          <rPr>
            <sz val="8"/>
            <rFont val="Tahoma"/>
            <family val="2"/>
          </rPr>
          <t xml:space="preserve"> </t>
        </r>
        <r>
          <rPr>
            <b/>
            <sz val="8"/>
            <rFont val="Tahoma"/>
            <family val="2"/>
          </rPr>
          <t>1960</t>
        </r>
        <r>
          <rPr>
            <sz val="8"/>
            <rFont val="Tahoma"/>
            <family val="2"/>
          </rPr>
          <t xml:space="preserve">, </t>
        </r>
        <r>
          <rPr>
            <i/>
            <sz val="8"/>
            <rFont val="Tahoma"/>
            <family val="2"/>
          </rPr>
          <t>82</t>
        </r>
        <r>
          <rPr>
            <sz val="8"/>
            <rFont val="Tahoma"/>
            <family val="2"/>
          </rPr>
          <t>, 3841-3843.</t>
        </r>
      </text>
    </comment>
    <comment ref="V88" authorId="0">
      <text>
        <r>
          <rPr>
            <sz val="8"/>
            <rFont val="Tahoma"/>
            <family val="0"/>
          </rPr>
          <t xml:space="preserve">Ditmars, D. A.; Douglas, T. B.  </t>
        </r>
        <r>
          <rPr>
            <i/>
            <sz val="8"/>
            <rFont val="Tahoma"/>
            <family val="2"/>
          </rPr>
          <t>J. Res. Nat. Bur. Stand.</t>
        </r>
        <r>
          <rPr>
            <sz val="8"/>
            <rFont val="Tahoma"/>
            <family val="2"/>
          </rPr>
          <t xml:space="preserve">  </t>
        </r>
        <r>
          <rPr>
            <b/>
            <sz val="8"/>
            <rFont val="Tahoma"/>
            <family val="2"/>
          </rPr>
          <t>1971</t>
        </r>
        <r>
          <rPr>
            <sz val="8"/>
            <rFont val="Tahoma"/>
            <family val="2"/>
          </rPr>
          <t xml:space="preserve">, </t>
        </r>
        <r>
          <rPr>
            <i/>
            <sz val="8"/>
            <rFont val="Tahoma"/>
            <family val="2"/>
          </rPr>
          <t>75A</t>
        </r>
        <r>
          <rPr>
            <sz val="8"/>
            <rFont val="Tahoma"/>
            <family val="2"/>
          </rPr>
          <t>, 401-420.</t>
        </r>
        <r>
          <rPr>
            <sz val="8"/>
            <rFont val="Tahoma"/>
            <family val="0"/>
          </rPr>
          <t xml:space="preserve">
</t>
        </r>
      </text>
    </comment>
    <comment ref="Q88" authorId="0">
      <text>
        <r>
          <rPr>
            <sz val="8"/>
            <rFont val="Tahoma"/>
            <family val="0"/>
          </rPr>
          <t xml:space="preserve">Barron, T. H. K.; Leadbetter, A. J.; Morrison, J. A.  </t>
        </r>
        <r>
          <rPr>
            <i/>
            <sz val="8"/>
            <rFont val="Tahoma"/>
            <family val="2"/>
          </rPr>
          <t>Proc. Roy. Soc. (London)</t>
        </r>
        <r>
          <rPr>
            <sz val="8"/>
            <rFont val="Tahoma"/>
            <family val="2"/>
          </rPr>
          <t xml:space="preserve">, </t>
        </r>
        <r>
          <rPr>
            <b/>
            <sz val="8"/>
            <rFont val="Tahoma"/>
            <family val="2"/>
          </rPr>
          <t>1964</t>
        </r>
        <r>
          <rPr>
            <sz val="8"/>
            <rFont val="Tahoma"/>
            <family val="2"/>
          </rPr>
          <t xml:space="preserve">, </t>
        </r>
        <r>
          <rPr>
            <i/>
            <sz val="8"/>
            <rFont val="Tahoma"/>
            <family val="2"/>
          </rPr>
          <t>A279</t>
        </r>
        <r>
          <rPr>
            <sz val="8"/>
            <rFont val="Tahoma"/>
            <family val="2"/>
          </rPr>
          <t>, 62-81.</t>
        </r>
      </text>
    </comment>
    <comment ref="J73" authorId="0">
      <text>
        <r>
          <rPr>
            <sz val="8"/>
            <rFont val="Tahoma"/>
            <family val="0"/>
          </rPr>
          <t xml:space="preserve">H. D. B. Jenkins, "Lattice Energies", </t>
        </r>
        <r>
          <rPr>
            <i/>
            <sz val="8"/>
            <rFont val="Tahoma"/>
            <family val="2"/>
          </rPr>
          <t>Handbook of Chemistry and Physics</t>
        </r>
        <r>
          <rPr>
            <sz val="8"/>
            <rFont val="Tahoma"/>
            <family val="0"/>
          </rPr>
          <t xml:space="preserve">, 76th ed.; CRC Press:  New York, 1999, p. </t>
        </r>
        <r>
          <rPr>
            <b/>
            <sz val="8"/>
            <rFont val="Tahoma"/>
            <family val="2"/>
          </rPr>
          <t>12</t>
        </r>
        <r>
          <rPr>
            <sz val="8"/>
            <rFont val="Tahoma"/>
            <family val="0"/>
          </rPr>
          <t>-19.</t>
        </r>
      </text>
    </comment>
  </commentList>
</comments>
</file>

<file path=xl/sharedStrings.xml><?xml version="1.0" encoding="utf-8"?>
<sst xmlns="http://schemas.openxmlformats.org/spreadsheetml/2006/main" count="2193" uniqueCount="1088">
  <si>
    <t>Point out the formula for lattice energy (given on the Lattice Energy sheet)</t>
  </si>
  <si>
    <t>http://cst-www.nrl.navy.mil/lattice/</t>
  </si>
  <si>
    <t>Troy University</t>
  </si>
  <si>
    <t>Reported Ion Hydration Energies</t>
  </si>
  <si>
    <t>(The complete list)</t>
  </si>
  <si>
    <t>Table 3.  Comparison of Hydration Enthalpies Calculated with the Born Equation with Experimental Values.</t>
  </si>
  <si>
    <t>Table 5 contains the data used to create Figure 2.</t>
  </si>
  <si>
    <t>(This section is not about getting into heaven.)  The "Lattice Energy" sheet uses the Born equation to calculate an "Estimated Enthalpy of Solution".  This section discusses the following:
1) How parameters used in the Born equation were determined.
2) How well the Born equation actually agrees with experimental results.</t>
  </si>
  <si>
    <t>Table 3 compares ion hydration enthalpies calculated with the Born equation with experimentally determined values.  The difference ranges from -10% to +5.3%.  These results are, actually, fairly good.</t>
  </si>
  <si>
    <t>Transition metal compounds, however, have to be excluded from the previous plot because compounds with C.N. 6 occur in the region expected for C.N. 4 for main group cations.</t>
  </si>
  <si>
    <r>
      <t xml:space="preserve">They used the average principle quantum number of the </t>
    </r>
    <r>
      <rPr>
        <i/>
        <sz val="10"/>
        <rFont val="Arial"/>
        <family val="2"/>
      </rPr>
      <t>element.</t>
    </r>
    <r>
      <rPr>
        <sz val="10"/>
        <rFont val="Arial"/>
        <family val="2"/>
      </rPr>
      <t xml:space="preserve">  The plots shown here were constructed using </t>
    </r>
    <r>
      <rPr>
        <i/>
        <sz val="10"/>
        <rFont val="Arial"/>
        <family val="2"/>
      </rPr>
      <t>n</t>
    </r>
    <r>
      <rPr>
        <sz val="10"/>
        <rFont val="Arial"/>
        <family val="2"/>
      </rPr>
      <t xml:space="preserve"> for the </t>
    </r>
    <r>
      <rPr>
        <i/>
        <sz val="10"/>
        <rFont val="Arial"/>
        <family val="2"/>
      </rPr>
      <t>ion</t>
    </r>
    <r>
      <rPr>
        <sz val="10"/>
        <rFont val="Arial"/>
        <family val="2"/>
      </rPr>
      <t xml:space="preserve">.  So, for example, </t>
    </r>
    <r>
      <rPr>
        <i/>
        <sz val="10"/>
        <rFont val="Arial"/>
        <family val="2"/>
      </rPr>
      <t>n</t>
    </r>
    <r>
      <rPr>
        <sz val="10"/>
        <rFont val="Arial"/>
        <family val="2"/>
      </rPr>
      <t xml:space="preserve"> of Li</t>
    </r>
    <r>
      <rPr>
        <vertAlign val="superscript"/>
        <sz val="10"/>
        <rFont val="Arial"/>
        <family val="2"/>
      </rPr>
      <t>+</t>
    </r>
    <r>
      <rPr>
        <sz val="10"/>
        <rFont val="Arial"/>
        <family val="2"/>
      </rPr>
      <t xml:space="preserve"> is 1, not 2; </t>
    </r>
    <r>
      <rPr>
        <i/>
        <sz val="10"/>
        <rFont val="Arial"/>
        <family val="2"/>
      </rPr>
      <t>n</t>
    </r>
    <r>
      <rPr>
        <sz val="10"/>
        <rFont val="Arial"/>
        <family val="2"/>
      </rPr>
      <t xml:space="preserve"> for In</t>
    </r>
    <r>
      <rPr>
        <vertAlign val="superscript"/>
        <sz val="10"/>
        <rFont val="Arial"/>
        <family val="2"/>
      </rPr>
      <t>3+</t>
    </r>
    <r>
      <rPr>
        <sz val="10"/>
        <rFont val="Arial"/>
        <family val="2"/>
      </rPr>
      <t xml:space="preserve"> is 4, and </t>
    </r>
    <r>
      <rPr>
        <i/>
        <sz val="10"/>
        <rFont val="Arial"/>
        <family val="2"/>
      </rPr>
      <t>n</t>
    </r>
    <r>
      <rPr>
        <sz val="10"/>
        <rFont val="Arial"/>
        <family val="2"/>
      </rPr>
      <t xml:space="preserve"> for Tl</t>
    </r>
    <r>
      <rPr>
        <vertAlign val="superscript"/>
        <sz val="10"/>
        <rFont val="Arial"/>
        <family val="2"/>
      </rPr>
      <t>+</t>
    </r>
    <r>
      <rPr>
        <sz val="10"/>
        <rFont val="Arial"/>
        <family val="2"/>
      </rPr>
      <t xml:space="preserve"> is 6.  Moorser and Pearson don't list the compounds in their maps.  The crystal type for most of the compounds shown here was found in Wells, A. F. </t>
    </r>
    <r>
      <rPr>
        <i/>
        <sz val="10"/>
        <rFont val="Arial"/>
        <family val="2"/>
      </rPr>
      <t>Structural Inorganic Chemistry</t>
    </r>
    <r>
      <rPr>
        <sz val="10"/>
        <rFont val="Arial"/>
        <family val="2"/>
      </rPr>
      <t>; Clarendon Press:  Oxford, 1945.</t>
    </r>
  </si>
  <si>
    <r>
      <t>Roobottom, Helen K.; Jenkins, H. Donald B.; Passmore, Jack; Glasser, Leslie.  "</t>
    </r>
    <r>
      <rPr>
        <sz val="9"/>
        <rFont val="Arial"/>
        <family val="2"/>
      </rPr>
      <t>Thermochemical Radii of Complex Ions</t>
    </r>
    <r>
      <rPr>
        <sz val="10"/>
        <rFont val="Arial"/>
        <family val="2"/>
      </rPr>
      <t xml:space="preserve">" </t>
    </r>
    <r>
      <rPr>
        <i/>
        <sz val="10"/>
        <rFont val="Arial"/>
        <family val="2"/>
      </rPr>
      <t>J. Chem. Educ.</t>
    </r>
    <r>
      <rPr>
        <sz val="10"/>
        <rFont val="Arial"/>
        <family val="2"/>
      </rPr>
      <t xml:space="preserve"> </t>
    </r>
    <r>
      <rPr>
        <b/>
        <sz val="10"/>
        <rFont val="Arial"/>
        <family val="2"/>
      </rPr>
      <t>1999,</t>
    </r>
    <r>
      <rPr>
        <sz val="10"/>
        <rFont val="Arial"/>
        <family val="2"/>
      </rPr>
      <t xml:space="preserve"> </t>
    </r>
    <r>
      <rPr>
        <i/>
        <sz val="10"/>
        <rFont val="Arial"/>
        <family val="2"/>
      </rPr>
      <t>76,</t>
    </r>
    <r>
      <rPr>
        <sz val="10"/>
        <rFont val="Arial"/>
        <family val="2"/>
      </rPr>
      <t xml:space="preserve"> 1570</t>
    </r>
  </si>
  <si>
    <r>
      <t xml:space="preserve">H. D. B. Jenkins, H. K. Roobottom, </t>
    </r>
    <r>
      <rPr>
        <i/>
        <sz val="10"/>
        <rFont val="Arial"/>
        <family val="2"/>
      </rPr>
      <t>Handbook of Chemistry and Physics</t>
    </r>
    <r>
      <rPr>
        <sz val="10"/>
        <rFont val="Arial"/>
        <family val="2"/>
      </rPr>
      <t>, 80th ed.; CRC Press:  New York, 1999</t>
    </r>
  </si>
  <si>
    <r>
      <t>1 As</t>
    </r>
    <r>
      <rPr>
        <vertAlign val="subscript"/>
        <sz val="10"/>
        <rFont val="Arial"/>
        <family val="2"/>
      </rPr>
      <t>3</t>
    </r>
    <r>
      <rPr>
        <sz val="10"/>
        <rFont val="Arial"/>
        <family val="0"/>
      </rPr>
      <t>S</t>
    </r>
    <r>
      <rPr>
        <vertAlign val="subscript"/>
        <sz val="10"/>
        <rFont val="Arial"/>
        <family val="2"/>
      </rPr>
      <t>4</t>
    </r>
    <r>
      <rPr>
        <vertAlign val="superscript"/>
        <sz val="10"/>
        <rFont val="Arial"/>
        <family val="2"/>
      </rPr>
      <t>+</t>
    </r>
  </si>
  <si>
    <r>
      <t>1 AgF</t>
    </r>
    <r>
      <rPr>
        <vertAlign val="subscript"/>
        <sz val="10"/>
        <rFont val="Arial"/>
        <family val="2"/>
      </rPr>
      <t>4</t>
    </r>
    <r>
      <rPr>
        <vertAlign val="superscript"/>
        <sz val="10"/>
        <rFont val="Arial"/>
        <family val="2"/>
      </rPr>
      <t>-</t>
    </r>
  </si>
  <si>
    <r>
      <t>2 As</t>
    </r>
    <r>
      <rPr>
        <vertAlign val="subscript"/>
        <sz val="10"/>
        <rFont val="Arial"/>
        <family val="2"/>
      </rPr>
      <t>3</t>
    </r>
    <r>
      <rPr>
        <sz val="10"/>
        <rFont val="Arial"/>
        <family val="0"/>
      </rPr>
      <t>Se</t>
    </r>
    <r>
      <rPr>
        <vertAlign val="subscript"/>
        <sz val="10"/>
        <rFont val="Arial"/>
        <family val="2"/>
      </rPr>
      <t>4</t>
    </r>
    <r>
      <rPr>
        <vertAlign val="superscript"/>
        <sz val="10"/>
        <rFont val="Arial"/>
        <family val="2"/>
      </rPr>
      <t>+</t>
    </r>
  </si>
  <si>
    <r>
      <t>2 AlBr</t>
    </r>
    <r>
      <rPr>
        <vertAlign val="subscript"/>
        <sz val="10"/>
        <rFont val="Arial"/>
        <family val="2"/>
      </rPr>
      <t>4</t>
    </r>
    <r>
      <rPr>
        <vertAlign val="superscript"/>
        <sz val="10"/>
        <rFont val="Arial"/>
        <family val="2"/>
      </rPr>
      <t>-</t>
    </r>
  </si>
  <si>
    <r>
      <t>3 AsCl</t>
    </r>
    <r>
      <rPr>
        <vertAlign val="subscript"/>
        <sz val="10"/>
        <rFont val="Arial"/>
        <family val="2"/>
      </rPr>
      <t>4</t>
    </r>
    <r>
      <rPr>
        <vertAlign val="superscript"/>
        <sz val="10"/>
        <rFont val="Arial"/>
        <family val="2"/>
      </rPr>
      <t>+</t>
    </r>
  </si>
  <si>
    <r>
      <t>3 AlCl</t>
    </r>
    <r>
      <rPr>
        <vertAlign val="subscript"/>
        <sz val="10"/>
        <rFont val="Arial"/>
        <family val="2"/>
      </rPr>
      <t>4</t>
    </r>
    <r>
      <rPr>
        <vertAlign val="superscript"/>
        <sz val="10"/>
        <rFont val="Arial"/>
        <family val="2"/>
      </rPr>
      <t>-</t>
    </r>
  </si>
  <si>
    <r>
      <t>4 Br</t>
    </r>
    <r>
      <rPr>
        <vertAlign val="subscript"/>
        <sz val="10"/>
        <rFont val="Arial"/>
        <family val="2"/>
      </rPr>
      <t>2</t>
    </r>
    <r>
      <rPr>
        <vertAlign val="superscript"/>
        <sz val="10"/>
        <rFont val="Arial"/>
        <family val="2"/>
      </rPr>
      <t>+</t>
    </r>
  </si>
  <si>
    <r>
      <t>4 AlF</t>
    </r>
    <r>
      <rPr>
        <vertAlign val="subscript"/>
        <sz val="10"/>
        <rFont val="Arial"/>
        <family val="2"/>
      </rPr>
      <t>4</t>
    </r>
    <r>
      <rPr>
        <vertAlign val="superscript"/>
        <sz val="10"/>
        <rFont val="Arial"/>
        <family val="2"/>
      </rPr>
      <t>-</t>
    </r>
  </si>
  <si>
    <r>
      <t>5 Br</t>
    </r>
    <r>
      <rPr>
        <vertAlign val="subscript"/>
        <sz val="10"/>
        <rFont val="Arial"/>
        <family val="2"/>
      </rPr>
      <t>3</t>
    </r>
    <r>
      <rPr>
        <vertAlign val="superscript"/>
        <sz val="10"/>
        <rFont val="Arial"/>
        <family val="2"/>
      </rPr>
      <t>+</t>
    </r>
  </si>
  <si>
    <r>
      <t>5 AlH</t>
    </r>
    <r>
      <rPr>
        <vertAlign val="subscript"/>
        <sz val="10"/>
        <rFont val="Arial"/>
        <family val="2"/>
      </rPr>
      <t>4</t>
    </r>
    <r>
      <rPr>
        <vertAlign val="superscript"/>
        <sz val="10"/>
        <rFont val="Arial"/>
        <family val="2"/>
      </rPr>
      <t>-</t>
    </r>
  </si>
  <si>
    <r>
      <t>6 Br</t>
    </r>
    <r>
      <rPr>
        <vertAlign val="subscript"/>
        <sz val="10"/>
        <rFont val="Arial"/>
        <family val="2"/>
      </rPr>
      <t>5</t>
    </r>
    <r>
      <rPr>
        <vertAlign val="superscript"/>
        <sz val="10"/>
        <rFont val="Arial"/>
        <family val="2"/>
      </rPr>
      <t>+</t>
    </r>
  </si>
  <si>
    <r>
      <t>6 AlI</t>
    </r>
    <r>
      <rPr>
        <vertAlign val="subscript"/>
        <sz val="10"/>
        <rFont val="Arial"/>
        <family val="2"/>
      </rPr>
      <t>4</t>
    </r>
    <r>
      <rPr>
        <vertAlign val="superscript"/>
        <sz val="10"/>
        <rFont val="Arial"/>
        <family val="2"/>
      </rPr>
      <t>-</t>
    </r>
  </si>
  <si>
    <r>
      <t>7 BrClCNH</t>
    </r>
    <r>
      <rPr>
        <vertAlign val="subscript"/>
        <sz val="10"/>
        <rFont val="Arial"/>
        <family val="2"/>
      </rPr>
      <t>2</t>
    </r>
    <r>
      <rPr>
        <vertAlign val="superscript"/>
        <sz val="10"/>
        <rFont val="Arial"/>
        <family val="2"/>
      </rPr>
      <t>+</t>
    </r>
  </si>
  <si>
    <r>
      <t>7 AlO</t>
    </r>
    <r>
      <rPr>
        <vertAlign val="subscript"/>
        <sz val="10"/>
        <rFont val="Arial"/>
        <family val="2"/>
      </rPr>
      <t>2</t>
    </r>
    <r>
      <rPr>
        <vertAlign val="superscript"/>
        <sz val="10"/>
        <rFont val="Arial"/>
        <family val="2"/>
      </rPr>
      <t>-</t>
    </r>
  </si>
  <si>
    <r>
      <t>8 BrF</t>
    </r>
    <r>
      <rPr>
        <vertAlign val="subscript"/>
        <sz val="10"/>
        <rFont val="Arial"/>
        <family val="2"/>
      </rPr>
      <t>2</t>
    </r>
    <r>
      <rPr>
        <vertAlign val="superscript"/>
        <sz val="10"/>
        <rFont val="Arial"/>
        <family val="2"/>
      </rPr>
      <t>+</t>
    </r>
  </si>
  <si>
    <r>
      <t>8 AsF</t>
    </r>
    <r>
      <rPr>
        <vertAlign val="subscript"/>
        <sz val="10"/>
        <rFont val="Arial"/>
        <family val="2"/>
      </rPr>
      <t>6</t>
    </r>
    <r>
      <rPr>
        <vertAlign val="superscript"/>
        <sz val="10"/>
        <rFont val="Arial"/>
        <family val="2"/>
      </rPr>
      <t>-</t>
    </r>
  </si>
  <si>
    <r>
      <t>9 BrF</t>
    </r>
    <r>
      <rPr>
        <vertAlign val="subscript"/>
        <sz val="10"/>
        <rFont val="Arial"/>
        <family val="2"/>
      </rPr>
      <t>4</t>
    </r>
    <r>
      <rPr>
        <vertAlign val="superscript"/>
        <sz val="10"/>
        <rFont val="Arial"/>
        <family val="2"/>
      </rPr>
      <t>+</t>
    </r>
  </si>
  <si>
    <r>
      <t>9 AsO</t>
    </r>
    <r>
      <rPr>
        <vertAlign val="subscript"/>
        <sz val="10"/>
        <rFont val="Arial"/>
        <family val="2"/>
      </rPr>
      <t>2</t>
    </r>
    <r>
      <rPr>
        <vertAlign val="superscript"/>
        <sz val="10"/>
        <rFont val="Arial"/>
        <family val="2"/>
      </rPr>
      <t>-</t>
    </r>
  </si>
  <si>
    <r>
      <t>10 C</t>
    </r>
    <r>
      <rPr>
        <vertAlign val="subscript"/>
        <sz val="10"/>
        <rFont val="Arial"/>
        <family val="2"/>
      </rPr>
      <t>10</t>
    </r>
    <r>
      <rPr>
        <sz val="10"/>
        <rFont val="Arial"/>
        <family val="0"/>
      </rPr>
      <t>F</t>
    </r>
    <r>
      <rPr>
        <vertAlign val="subscript"/>
        <sz val="10"/>
        <rFont val="Arial"/>
        <family val="2"/>
      </rPr>
      <t>8</t>
    </r>
    <r>
      <rPr>
        <vertAlign val="superscript"/>
        <sz val="10"/>
        <rFont val="Arial"/>
        <family val="2"/>
      </rPr>
      <t>+</t>
    </r>
  </si>
  <si>
    <r>
      <t>10 Au(CN)</t>
    </r>
    <r>
      <rPr>
        <vertAlign val="subscript"/>
        <sz val="10"/>
        <rFont val="Arial"/>
        <family val="2"/>
      </rPr>
      <t>2</t>
    </r>
    <r>
      <rPr>
        <vertAlign val="superscript"/>
        <sz val="10"/>
        <rFont val="Arial"/>
        <family val="2"/>
      </rPr>
      <t>-</t>
    </r>
  </si>
  <si>
    <r>
      <t>11 C</t>
    </r>
    <r>
      <rPr>
        <vertAlign val="subscript"/>
        <sz val="10"/>
        <rFont val="Arial"/>
        <family val="2"/>
      </rPr>
      <t>6</t>
    </r>
    <r>
      <rPr>
        <sz val="10"/>
        <rFont val="Arial"/>
        <family val="0"/>
      </rPr>
      <t>F</t>
    </r>
    <r>
      <rPr>
        <vertAlign val="subscript"/>
        <sz val="10"/>
        <rFont val="Arial"/>
        <family val="2"/>
      </rPr>
      <t>6</t>
    </r>
    <r>
      <rPr>
        <vertAlign val="superscript"/>
        <sz val="10"/>
        <rFont val="Arial"/>
        <family val="2"/>
      </rPr>
      <t>+</t>
    </r>
  </si>
  <si>
    <r>
      <t>11 AuCl</t>
    </r>
    <r>
      <rPr>
        <vertAlign val="subscript"/>
        <sz val="10"/>
        <rFont val="Arial"/>
        <family val="2"/>
      </rPr>
      <t>4</t>
    </r>
    <r>
      <rPr>
        <vertAlign val="superscript"/>
        <sz val="10"/>
        <rFont val="Arial"/>
        <family val="2"/>
      </rPr>
      <t>-</t>
    </r>
  </si>
  <si>
    <r>
      <t>12 Cl(SNSCN)</t>
    </r>
    <r>
      <rPr>
        <vertAlign val="subscript"/>
        <sz val="10"/>
        <rFont val="Arial"/>
        <family val="2"/>
      </rPr>
      <t>2</t>
    </r>
    <r>
      <rPr>
        <vertAlign val="superscript"/>
        <sz val="10"/>
        <rFont val="Arial"/>
        <family val="2"/>
      </rPr>
      <t>+</t>
    </r>
  </si>
  <si>
    <r>
      <t>12 AuF</t>
    </r>
    <r>
      <rPr>
        <vertAlign val="subscript"/>
        <sz val="10"/>
        <rFont val="Arial"/>
        <family val="2"/>
      </rPr>
      <t>4</t>
    </r>
    <r>
      <rPr>
        <vertAlign val="superscript"/>
        <sz val="10"/>
        <rFont val="Arial"/>
        <family val="2"/>
      </rPr>
      <t>-</t>
    </r>
  </si>
  <si>
    <r>
      <t>13 Cl</t>
    </r>
    <r>
      <rPr>
        <vertAlign val="subscript"/>
        <sz val="10"/>
        <rFont val="Arial"/>
        <family val="2"/>
      </rPr>
      <t>2</t>
    </r>
    <r>
      <rPr>
        <sz val="10"/>
        <rFont val="Arial"/>
        <family val="0"/>
      </rPr>
      <t>C=NH</t>
    </r>
    <r>
      <rPr>
        <vertAlign val="subscript"/>
        <sz val="10"/>
        <rFont val="Arial"/>
        <family val="2"/>
      </rPr>
      <t>2</t>
    </r>
    <r>
      <rPr>
        <vertAlign val="superscript"/>
        <sz val="10"/>
        <rFont val="Arial"/>
        <family val="2"/>
      </rPr>
      <t>+</t>
    </r>
  </si>
  <si>
    <r>
      <t>13 AuF</t>
    </r>
    <r>
      <rPr>
        <vertAlign val="subscript"/>
        <sz val="10"/>
        <rFont val="Arial"/>
        <family val="2"/>
      </rPr>
      <t>6</t>
    </r>
    <r>
      <rPr>
        <vertAlign val="superscript"/>
        <sz val="10"/>
        <rFont val="Arial"/>
        <family val="2"/>
      </rPr>
      <t>-</t>
    </r>
  </si>
  <si>
    <r>
      <t>14 Cl</t>
    </r>
    <r>
      <rPr>
        <vertAlign val="subscript"/>
        <sz val="10"/>
        <rFont val="Arial"/>
        <family val="2"/>
      </rPr>
      <t>2</t>
    </r>
    <r>
      <rPr>
        <sz val="10"/>
        <rFont val="Arial"/>
        <family val="0"/>
      </rPr>
      <t>F</t>
    </r>
    <r>
      <rPr>
        <vertAlign val="superscript"/>
        <sz val="10"/>
        <rFont val="Arial"/>
        <family val="2"/>
      </rPr>
      <t>+</t>
    </r>
  </si>
  <si>
    <r>
      <t>14 B(OH)</t>
    </r>
    <r>
      <rPr>
        <vertAlign val="subscript"/>
        <sz val="10"/>
        <rFont val="Arial"/>
        <family val="2"/>
      </rPr>
      <t>4</t>
    </r>
    <r>
      <rPr>
        <vertAlign val="superscript"/>
        <sz val="10"/>
        <rFont val="Arial"/>
        <family val="2"/>
      </rPr>
      <t>-</t>
    </r>
  </si>
  <si>
    <r>
      <t>15 Cl</t>
    </r>
    <r>
      <rPr>
        <vertAlign val="subscript"/>
        <sz val="10"/>
        <rFont val="Arial"/>
        <family val="2"/>
      </rPr>
      <t>3</t>
    </r>
    <r>
      <rPr>
        <vertAlign val="superscript"/>
        <sz val="10"/>
        <rFont val="Arial"/>
        <family val="2"/>
      </rPr>
      <t>+</t>
    </r>
  </si>
  <si>
    <r>
      <t>15 BF</t>
    </r>
    <r>
      <rPr>
        <vertAlign val="subscript"/>
        <sz val="10"/>
        <rFont val="Arial"/>
        <family val="2"/>
      </rPr>
      <t>4</t>
    </r>
    <r>
      <rPr>
        <vertAlign val="superscript"/>
        <sz val="10"/>
        <rFont val="Arial"/>
        <family val="2"/>
      </rPr>
      <t>-</t>
    </r>
  </si>
  <si>
    <r>
      <t>16 ClF</t>
    </r>
    <r>
      <rPr>
        <vertAlign val="subscript"/>
        <sz val="10"/>
        <rFont val="Arial"/>
        <family val="2"/>
      </rPr>
      <t>2</t>
    </r>
    <r>
      <rPr>
        <vertAlign val="superscript"/>
        <sz val="10"/>
        <rFont val="Arial"/>
        <family val="2"/>
      </rPr>
      <t>+</t>
    </r>
  </si>
  <si>
    <r>
      <t>16 BH</t>
    </r>
    <r>
      <rPr>
        <vertAlign val="subscript"/>
        <sz val="10"/>
        <rFont val="Arial"/>
        <family val="2"/>
      </rPr>
      <t>4</t>
    </r>
    <r>
      <rPr>
        <vertAlign val="superscript"/>
        <sz val="10"/>
        <rFont val="Arial"/>
        <family val="2"/>
      </rPr>
      <t>-</t>
    </r>
  </si>
  <si>
    <r>
      <t>17 ClO</t>
    </r>
    <r>
      <rPr>
        <vertAlign val="subscript"/>
        <sz val="10"/>
        <rFont val="Arial"/>
        <family val="2"/>
      </rPr>
      <t>2</t>
    </r>
    <r>
      <rPr>
        <vertAlign val="superscript"/>
        <sz val="10"/>
        <rFont val="Arial"/>
        <family val="2"/>
      </rPr>
      <t>+</t>
    </r>
  </si>
  <si>
    <r>
      <t>17 Br</t>
    </r>
    <r>
      <rPr>
        <vertAlign val="superscript"/>
        <sz val="10"/>
        <rFont val="Arial"/>
        <family val="2"/>
      </rPr>
      <t>-</t>
    </r>
  </si>
  <si>
    <r>
      <t>18 I</t>
    </r>
    <r>
      <rPr>
        <vertAlign val="subscript"/>
        <sz val="10"/>
        <rFont val="Arial"/>
        <family val="2"/>
      </rPr>
      <t>2</t>
    </r>
    <r>
      <rPr>
        <vertAlign val="superscript"/>
        <sz val="10"/>
        <rFont val="Arial"/>
        <family val="2"/>
      </rPr>
      <t>+</t>
    </r>
  </si>
  <si>
    <r>
      <t>18 Br</t>
    </r>
    <r>
      <rPr>
        <vertAlign val="subscript"/>
        <sz val="10"/>
        <rFont val="Arial"/>
        <family val="2"/>
      </rPr>
      <t>3</t>
    </r>
    <r>
      <rPr>
        <vertAlign val="superscript"/>
        <sz val="10"/>
        <rFont val="Arial"/>
        <family val="2"/>
      </rPr>
      <t>-</t>
    </r>
  </si>
  <si>
    <r>
      <t>19 I</t>
    </r>
    <r>
      <rPr>
        <vertAlign val="subscript"/>
        <sz val="10"/>
        <rFont val="Arial"/>
        <family val="2"/>
      </rPr>
      <t>3</t>
    </r>
    <r>
      <rPr>
        <vertAlign val="superscript"/>
        <sz val="10"/>
        <rFont val="Arial"/>
        <family val="2"/>
      </rPr>
      <t>+</t>
    </r>
  </si>
  <si>
    <r>
      <t>19 BrF</t>
    </r>
    <r>
      <rPr>
        <vertAlign val="subscript"/>
        <sz val="10"/>
        <rFont val="Arial"/>
        <family val="2"/>
      </rPr>
      <t>4</t>
    </r>
    <r>
      <rPr>
        <vertAlign val="superscript"/>
        <sz val="10"/>
        <rFont val="Arial"/>
        <family val="2"/>
      </rPr>
      <t>-</t>
    </r>
  </si>
  <si>
    <r>
      <t>20 I</t>
    </r>
    <r>
      <rPr>
        <vertAlign val="subscript"/>
        <sz val="10"/>
        <rFont val="Arial"/>
        <family val="2"/>
      </rPr>
      <t>5</t>
    </r>
    <r>
      <rPr>
        <vertAlign val="superscript"/>
        <sz val="10"/>
        <rFont val="Arial"/>
        <family val="2"/>
      </rPr>
      <t>+</t>
    </r>
  </si>
  <si>
    <r>
      <t>20 BrO</t>
    </r>
    <r>
      <rPr>
        <vertAlign val="subscript"/>
        <sz val="10"/>
        <rFont val="Arial"/>
        <family val="2"/>
      </rPr>
      <t>3</t>
    </r>
    <r>
      <rPr>
        <vertAlign val="superscript"/>
        <sz val="10"/>
        <rFont val="Arial"/>
        <family val="2"/>
      </rPr>
      <t>-</t>
    </r>
  </si>
  <si>
    <r>
      <t>21 IBr</t>
    </r>
    <r>
      <rPr>
        <vertAlign val="subscript"/>
        <sz val="10"/>
        <rFont val="Arial"/>
        <family val="2"/>
      </rPr>
      <t>2</t>
    </r>
    <r>
      <rPr>
        <vertAlign val="superscript"/>
        <sz val="10"/>
        <rFont val="Arial"/>
        <family val="2"/>
      </rPr>
      <t>+</t>
    </r>
  </si>
  <si>
    <r>
      <t>21 CF</t>
    </r>
    <r>
      <rPr>
        <vertAlign val="subscript"/>
        <sz val="10"/>
        <rFont val="Arial"/>
        <family val="2"/>
      </rPr>
      <t>3</t>
    </r>
    <r>
      <rPr>
        <sz val="10"/>
        <rFont val="Arial"/>
        <family val="0"/>
      </rPr>
      <t>SO</t>
    </r>
    <r>
      <rPr>
        <vertAlign val="subscript"/>
        <sz val="10"/>
        <rFont val="Arial"/>
        <family val="2"/>
      </rPr>
      <t>3</t>
    </r>
    <r>
      <rPr>
        <vertAlign val="superscript"/>
        <sz val="10"/>
        <rFont val="Arial"/>
        <family val="2"/>
      </rPr>
      <t>-</t>
    </r>
  </si>
  <si>
    <r>
      <t>22 ICl</t>
    </r>
    <r>
      <rPr>
        <vertAlign val="subscript"/>
        <sz val="10"/>
        <rFont val="Arial"/>
        <family val="2"/>
      </rPr>
      <t>2</t>
    </r>
    <r>
      <rPr>
        <vertAlign val="superscript"/>
        <sz val="10"/>
        <rFont val="Arial"/>
        <family val="2"/>
      </rPr>
      <t>+</t>
    </r>
  </si>
  <si>
    <r>
      <t>22 CH</t>
    </r>
    <r>
      <rPr>
        <vertAlign val="subscript"/>
        <sz val="10"/>
        <rFont val="Arial"/>
        <family val="2"/>
      </rPr>
      <t>3</t>
    </r>
    <r>
      <rPr>
        <sz val="10"/>
        <rFont val="Arial"/>
        <family val="0"/>
      </rPr>
      <t>CO</t>
    </r>
    <r>
      <rPr>
        <vertAlign val="subscript"/>
        <sz val="10"/>
        <rFont val="Arial"/>
        <family val="2"/>
      </rPr>
      <t>2</t>
    </r>
    <r>
      <rPr>
        <vertAlign val="superscript"/>
        <sz val="10"/>
        <rFont val="Arial"/>
        <family val="2"/>
      </rPr>
      <t>-</t>
    </r>
  </si>
  <si>
    <r>
      <t>23 IF</t>
    </r>
    <r>
      <rPr>
        <vertAlign val="subscript"/>
        <sz val="10"/>
        <rFont val="Arial"/>
        <family val="2"/>
      </rPr>
      <t>6</t>
    </r>
    <r>
      <rPr>
        <vertAlign val="superscript"/>
        <sz val="10"/>
        <rFont val="Arial"/>
        <family val="2"/>
      </rPr>
      <t>+</t>
    </r>
  </si>
  <si>
    <r>
      <t>23 Cl</t>
    </r>
    <r>
      <rPr>
        <vertAlign val="superscript"/>
        <sz val="10"/>
        <rFont val="Arial"/>
        <family val="2"/>
      </rPr>
      <t>-</t>
    </r>
  </si>
  <si>
    <r>
      <t>24 N(CH</t>
    </r>
    <r>
      <rPr>
        <vertAlign val="subscript"/>
        <sz val="10"/>
        <rFont val="Arial"/>
        <family val="2"/>
      </rPr>
      <t>3</t>
    </r>
    <r>
      <rPr>
        <sz val="10"/>
        <rFont val="Arial"/>
        <family val="0"/>
      </rPr>
      <t>)</t>
    </r>
    <r>
      <rPr>
        <vertAlign val="subscript"/>
        <sz val="10"/>
        <rFont val="Arial"/>
        <family val="2"/>
      </rPr>
      <t>4</t>
    </r>
    <r>
      <rPr>
        <vertAlign val="superscript"/>
        <sz val="10"/>
        <rFont val="Arial"/>
        <family val="2"/>
      </rPr>
      <t>+</t>
    </r>
  </si>
  <si>
    <r>
      <t>24 ClO</t>
    </r>
    <r>
      <rPr>
        <vertAlign val="subscript"/>
        <sz val="10"/>
        <rFont val="Arial"/>
        <family val="2"/>
      </rPr>
      <t>2</t>
    </r>
    <r>
      <rPr>
        <vertAlign val="superscript"/>
        <sz val="10"/>
        <rFont val="Arial"/>
        <family val="2"/>
      </rPr>
      <t>-</t>
    </r>
  </si>
  <si>
    <r>
      <t>25 N(S</t>
    </r>
    <r>
      <rPr>
        <vertAlign val="subscript"/>
        <sz val="10"/>
        <rFont val="Arial"/>
        <family val="2"/>
      </rPr>
      <t>3</t>
    </r>
    <r>
      <rPr>
        <sz val="10"/>
        <rFont val="Arial"/>
        <family val="0"/>
      </rPr>
      <t>N</t>
    </r>
    <r>
      <rPr>
        <vertAlign val="subscript"/>
        <sz val="10"/>
        <rFont val="Arial"/>
        <family val="2"/>
      </rPr>
      <t>2</t>
    </r>
    <r>
      <rPr>
        <sz val="10"/>
        <rFont val="Arial"/>
        <family val="0"/>
      </rPr>
      <t>)</t>
    </r>
    <r>
      <rPr>
        <vertAlign val="subscript"/>
        <sz val="10"/>
        <rFont val="Arial"/>
        <family val="2"/>
      </rPr>
      <t>2</t>
    </r>
    <r>
      <rPr>
        <vertAlign val="superscript"/>
        <sz val="10"/>
        <rFont val="Arial"/>
        <family val="2"/>
      </rPr>
      <t>+</t>
    </r>
  </si>
  <si>
    <r>
      <t>25 ClO</t>
    </r>
    <r>
      <rPr>
        <vertAlign val="subscript"/>
        <sz val="10"/>
        <rFont val="Arial"/>
        <family val="2"/>
      </rPr>
      <t>3</t>
    </r>
    <r>
      <rPr>
        <vertAlign val="superscript"/>
        <sz val="10"/>
        <rFont val="Arial"/>
        <family val="2"/>
      </rPr>
      <t>-</t>
    </r>
  </si>
  <si>
    <r>
      <t>26 N(SCl)</t>
    </r>
    <r>
      <rPr>
        <vertAlign val="subscript"/>
        <sz val="10"/>
        <rFont val="Arial"/>
        <family val="2"/>
      </rPr>
      <t>2</t>
    </r>
    <r>
      <rPr>
        <vertAlign val="superscript"/>
        <sz val="10"/>
        <rFont val="Arial"/>
        <family val="2"/>
      </rPr>
      <t>+</t>
    </r>
  </si>
  <si>
    <r>
      <t>26 ClO</t>
    </r>
    <r>
      <rPr>
        <vertAlign val="subscript"/>
        <sz val="10"/>
        <rFont val="Arial"/>
        <family val="2"/>
      </rPr>
      <t>4</t>
    </r>
    <r>
      <rPr>
        <vertAlign val="superscript"/>
        <sz val="10"/>
        <rFont val="Arial"/>
        <family val="2"/>
      </rPr>
      <t>-</t>
    </r>
  </si>
  <si>
    <r>
      <t>27 N(SeCl)</t>
    </r>
    <r>
      <rPr>
        <vertAlign val="subscript"/>
        <sz val="10"/>
        <rFont val="Arial"/>
        <family val="2"/>
      </rPr>
      <t>2</t>
    </r>
    <r>
      <rPr>
        <vertAlign val="superscript"/>
        <sz val="10"/>
        <rFont val="Arial"/>
        <family val="2"/>
      </rPr>
      <t>+</t>
    </r>
  </si>
  <si>
    <r>
      <t>27 ClS</t>
    </r>
    <r>
      <rPr>
        <vertAlign val="subscript"/>
        <sz val="10"/>
        <rFont val="Arial"/>
        <family val="2"/>
      </rPr>
      <t>2</t>
    </r>
    <r>
      <rPr>
        <sz val="10"/>
        <rFont val="Arial"/>
        <family val="0"/>
      </rPr>
      <t>O</t>
    </r>
    <r>
      <rPr>
        <vertAlign val="subscript"/>
        <sz val="10"/>
        <rFont val="Arial"/>
        <family val="2"/>
      </rPr>
      <t>6</t>
    </r>
    <r>
      <rPr>
        <vertAlign val="superscript"/>
        <sz val="10"/>
        <rFont val="Arial"/>
        <family val="2"/>
      </rPr>
      <t>-</t>
    </r>
  </si>
  <si>
    <r>
      <t>28 N(SF</t>
    </r>
    <r>
      <rPr>
        <vertAlign val="subscript"/>
        <sz val="10"/>
        <rFont val="Arial"/>
        <family val="2"/>
      </rPr>
      <t>2</t>
    </r>
    <r>
      <rPr>
        <sz val="10"/>
        <rFont val="Arial"/>
        <family val="0"/>
      </rPr>
      <t>)</t>
    </r>
    <r>
      <rPr>
        <vertAlign val="subscript"/>
        <sz val="10"/>
        <rFont val="Arial"/>
        <family val="2"/>
      </rPr>
      <t>2</t>
    </r>
    <r>
      <rPr>
        <vertAlign val="superscript"/>
        <sz val="10"/>
        <rFont val="Arial"/>
        <family val="2"/>
      </rPr>
      <t>+</t>
    </r>
  </si>
  <si>
    <r>
      <t>28 CN</t>
    </r>
    <r>
      <rPr>
        <vertAlign val="superscript"/>
        <sz val="10"/>
        <rFont val="Arial"/>
        <family val="2"/>
      </rPr>
      <t>-</t>
    </r>
  </si>
  <si>
    <r>
      <t>29 N</t>
    </r>
    <r>
      <rPr>
        <vertAlign val="subscript"/>
        <sz val="10"/>
        <rFont val="Arial"/>
        <family val="2"/>
      </rPr>
      <t>2</t>
    </r>
    <r>
      <rPr>
        <sz val="10"/>
        <rFont val="Arial"/>
        <family val="0"/>
      </rPr>
      <t>F</t>
    </r>
    <r>
      <rPr>
        <vertAlign val="superscript"/>
        <sz val="10"/>
        <rFont val="Arial"/>
        <family val="2"/>
      </rPr>
      <t>+</t>
    </r>
  </si>
  <si>
    <r>
      <t>29 CNO</t>
    </r>
    <r>
      <rPr>
        <vertAlign val="superscript"/>
        <sz val="10"/>
        <rFont val="Arial"/>
        <family val="2"/>
      </rPr>
      <t>-</t>
    </r>
  </si>
  <si>
    <r>
      <t>30 N</t>
    </r>
    <r>
      <rPr>
        <vertAlign val="subscript"/>
        <sz val="10"/>
        <rFont val="Arial"/>
        <family val="2"/>
      </rPr>
      <t>2</t>
    </r>
    <r>
      <rPr>
        <sz val="10"/>
        <rFont val="Arial"/>
        <family val="0"/>
      </rPr>
      <t>H</t>
    </r>
    <r>
      <rPr>
        <vertAlign val="subscript"/>
        <sz val="10"/>
        <rFont val="Arial"/>
        <family val="2"/>
      </rPr>
      <t>5</t>
    </r>
    <r>
      <rPr>
        <vertAlign val="superscript"/>
        <sz val="10"/>
        <rFont val="Arial"/>
        <family val="2"/>
      </rPr>
      <t>+</t>
    </r>
  </si>
  <si>
    <r>
      <t>30 CNS</t>
    </r>
    <r>
      <rPr>
        <vertAlign val="superscript"/>
        <sz val="10"/>
        <rFont val="Arial"/>
        <family val="2"/>
      </rPr>
      <t>-</t>
    </r>
  </si>
  <si>
    <r>
      <t>31 N</t>
    </r>
    <r>
      <rPr>
        <vertAlign val="subscript"/>
        <sz val="10"/>
        <rFont val="Arial"/>
        <family val="2"/>
      </rPr>
      <t>2</t>
    </r>
    <r>
      <rPr>
        <sz val="10"/>
        <rFont val="Arial"/>
        <family val="0"/>
      </rPr>
      <t>H</t>
    </r>
    <r>
      <rPr>
        <vertAlign val="subscript"/>
        <sz val="10"/>
        <rFont val="Arial"/>
        <family val="2"/>
      </rPr>
      <t>6</t>
    </r>
    <r>
      <rPr>
        <vertAlign val="superscript"/>
        <sz val="10"/>
        <rFont val="Arial"/>
        <family val="2"/>
      </rPr>
      <t>2+</t>
    </r>
  </si>
  <si>
    <r>
      <t>31 Cr</t>
    </r>
    <r>
      <rPr>
        <vertAlign val="subscript"/>
        <sz val="10"/>
        <rFont val="Arial"/>
        <family val="2"/>
      </rPr>
      <t>3</t>
    </r>
    <r>
      <rPr>
        <sz val="10"/>
        <rFont val="Arial"/>
        <family val="0"/>
      </rPr>
      <t>O</t>
    </r>
    <r>
      <rPr>
        <vertAlign val="subscript"/>
        <sz val="10"/>
        <rFont val="Arial"/>
        <family val="2"/>
      </rPr>
      <t>8</t>
    </r>
    <r>
      <rPr>
        <vertAlign val="superscript"/>
        <sz val="10"/>
        <rFont val="Arial"/>
        <family val="2"/>
      </rPr>
      <t>-</t>
    </r>
  </si>
  <si>
    <r>
      <t>32 NH(C</t>
    </r>
    <r>
      <rPr>
        <vertAlign val="subscript"/>
        <sz val="10"/>
        <rFont val="Arial"/>
        <family val="2"/>
      </rPr>
      <t>2</t>
    </r>
    <r>
      <rPr>
        <sz val="10"/>
        <rFont val="Arial"/>
        <family val="0"/>
      </rPr>
      <t>H</t>
    </r>
    <r>
      <rPr>
        <vertAlign val="subscript"/>
        <sz val="10"/>
        <rFont val="Arial"/>
        <family val="2"/>
      </rPr>
      <t>5</t>
    </r>
    <r>
      <rPr>
        <sz val="10"/>
        <rFont val="Arial"/>
        <family val="0"/>
      </rPr>
      <t>)</t>
    </r>
    <r>
      <rPr>
        <vertAlign val="superscript"/>
        <sz val="10"/>
        <rFont val="Arial"/>
        <family val="2"/>
      </rPr>
      <t>3+</t>
    </r>
  </si>
  <si>
    <r>
      <t>32 CuBr</t>
    </r>
    <r>
      <rPr>
        <vertAlign val="subscript"/>
        <sz val="10"/>
        <rFont val="Arial"/>
        <family val="2"/>
      </rPr>
      <t>4</t>
    </r>
    <r>
      <rPr>
        <vertAlign val="superscript"/>
        <sz val="10"/>
        <rFont val="Arial"/>
        <family val="2"/>
      </rPr>
      <t>-</t>
    </r>
  </si>
  <si>
    <r>
      <t>33 NH</t>
    </r>
    <r>
      <rPr>
        <vertAlign val="subscript"/>
        <sz val="10"/>
        <rFont val="Arial"/>
        <family val="2"/>
      </rPr>
      <t>3</t>
    </r>
    <r>
      <rPr>
        <sz val="10"/>
        <rFont val="Arial"/>
        <family val="0"/>
      </rPr>
      <t>C</t>
    </r>
    <r>
      <rPr>
        <vertAlign val="subscript"/>
        <sz val="10"/>
        <rFont val="Arial"/>
        <family val="2"/>
      </rPr>
      <t>2</t>
    </r>
    <r>
      <rPr>
        <sz val="10"/>
        <rFont val="Arial"/>
        <family val="0"/>
      </rPr>
      <t>H</t>
    </r>
    <r>
      <rPr>
        <vertAlign val="subscript"/>
        <sz val="10"/>
        <rFont val="Arial"/>
        <family val="2"/>
      </rPr>
      <t>4</t>
    </r>
    <r>
      <rPr>
        <sz val="10"/>
        <rFont val="Arial"/>
        <family val="0"/>
      </rPr>
      <t>OH</t>
    </r>
    <r>
      <rPr>
        <vertAlign val="superscript"/>
        <sz val="10"/>
        <rFont val="Arial"/>
        <family val="2"/>
      </rPr>
      <t>+</t>
    </r>
  </si>
  <si>
    <r>
      <t>33 F</t>
    </r>
    <r>
      <rPr>
        <vertAlign val="superscript"/>
        <sz val="10"/>
        <rFont val="Arial"/>
        <family val="2"/>
      </rPr>
      <t>-</t>
    </r>
  </si>
  <si>
    <r>
      <t>34 NH</t>
    </r>
    <r>
      <rPr>
        <vertAlign val="subscript"/>
        <sz val="10"/>
        <rFont val="Arial"/>
        <family val="2"/>
      </rPr>
      <t>3</t>
    </r>
    <r>
      <rPr>
        <sz val="10"/>
        <rFont val="Arial"/>
        <family val="0"/>
      </rPr>
      <t>C</t>
    </r>
    <r>
      <rPr>
        <vertAlign val="subscript"/>
        <sz val="10"/>
        <rFont val="Arial"/>
        <family val="2"/>
      </rPr>
      <t>2</t>
    </r>
    <r>
      <rPr>
        <sz val="10"/>
        <rFont val="Arial"/>
        <family val="0"/>
      </rPr>
      <t>H</t>
    </r>
    <r>
      <rPr>
        <vertAlign val="subscript"/>
        <sz val="10"/>
        <rFont val="Arial"/>
        <family val="2"/>
      </rPr>
      <t>5</t>
    </r>
    <r>
      <rPr>
        <vertAlign val="superscript"/>
        <sz val="10"/>
        <rFont val="Arial"/>
        <family val="2"/>
      </rPr>
      <t>+</t>
    </r>
  </si>
  <si>
    <r>
      <t>34 FeCl</t>
    </r>
    <r>
      <rPr>
        <vertAlign val="subscript"/>
        <sz val="10"/>
        <rFont val="Arial"/>
        <family val="2"/>
      </rPr>
      <t>4</t>
    </r>
    <r>
      <rPr>
        <vertAlign val="superscript"/>
        <sz val="10"/>
        <rFont val="Arial"/>
        <family val="2"/>
      </rPr>
      <t>-</t>
    </r>
  </si>
  <si>
    <r>
      <t>35 NH</t>
    </r>
    <r>
      <rPr>
        <vertAlign val="subscript"/>
        <sz val="10"/>
        <rFont val="Arial"/>
        <family val="2"/>
      </rPr>
      <t>3</t>
    </r>
    <r>
      <rPr>
        <sz val="10"/>
        <rFont val="Arial"/>
        <family val="0"/>
      </rPr>
      <t>C</t>
    </r>
    <r>
      <rPr>
        <vertAlign val="subscript"/>
        <sz val="10"/>
        <rFont val="Arial"/>
        <family val="2"/>
      </rPr>
      <t>3</t>
    </r>
    <r>
      <rPr>
        <sz val="10"/>
        <rFont val="Arial"/>
        <family val="0"/>
      </rPr>
      <t>H</t>
    </r>
    <r>
      <rPr>
        <vertAlign val="subscript"/>
        <sz val="10"/>
        <rFont val="Arial"/>
        <family val="2"/>
      </rPr>
      <t>7</t>
    </r>
    <r>
      <rPr>
        <vertAlign val="superscript"/>
        <sz val="10"/>
        <rFont val="Arial"/>
        <family val="2"/>
      </rPr>
      <t>+</t>
    </r>
  </si>
  <si>
    <r>
      <t>35 GaBr</t>
    </r>
    <r>
      <rPr>
        <vertAlign val="subscript"/>
        <sz val="10"/>
        <rFont val="Arial"/>
        <family val="2"/>
      </rPr>
      <t>4</t>
    </r>
    <r>
      <rPr>
        <vertAlign val="superscript"/>
        <sz val="10"/>
        <rFont val="Arial"/>
        <family val="2"/>
      </rPr>
      <t>-</t>
    </r>
  </si>
  <si>
    <r>
      <t>36 NH</t>
    </r>
    <r>
      <rPr>
        <vertAlign val="subscript"/>
        <sz val="10"/>
        <rFont val="Arial"/>
        <family val="2"/>
      </rPr>
      <t>3</t>
    </r>
    <r>
      <rPr>
        <sz val="10"/>
        <rFont val="Arial"/>
        <family val="0"/>
      </rPr>
      <t>CH</t>
    </r>
    <r>
      <rPr>
        <vertAlign val="subscript"/>
        <sz val="10"/>
        <rFont val="Arial"/>
        <family val="2"/>
      </rPr>
      <t>3</t>
    </r>
    <r>
      <rPr>
        <vertAlign val="superscript"/>
        <sz val="10"/>
        <rFont val="Arial"/>
        <family val="2"/>
      </rPr>
      <t>+</t>
    </r>
  </si>
  <si>
    <r>
      <t>36 GaCl</t>
    </r>
    <r>
      <rPr>
        <vertAlign val="subscript"/>
        <sz val="10"/>
        <rFont val="Arial"/>
        <family val="2"/>
      </rPr>
      <t>4</t>
    </r>
    <r>
      <rPr>
        <vertAlign val="superscript"/>
        <sz val="10"/>
        <rFont val="Arial"/>
        <family val="2"/>
      </rPr>
      <t>-</t>
    </r>
  </si>
  <si>
    <r>
      <t>37 NH</t>
    </r>
    <r>
      <rPr>
        <vertAlign val="subscript"/>
        <sz val="10"/>
        <rFont val="Arial"/>
        <family val="2"/>
      </rPr>
      <t>3</t>
    </r>
    <r>
      <rPr>
        <sz val="10"/>
        <rFont val="Arial"/>
        <family val="0"/>
      </rPr>
      <t>OH</t>
    </r>
    <r>
      <rPr>
        <vertAlign val="superscript"/>
        <sz val="10"/>
        <rFont val="Arial"/>
        <family val="2"/>
      </rPr>
      <t>+</t>
    </r>
  </si>
  <si>
    <r>
      <t>37 H</t>
    </r>
    <r>
      <rPr>
        <vertAlign val="superscript"/>
        <sz val="10"/>
        <rFont val="Arial"/>
        <family val="2"/>
      </rPr>
      <t>-</t>
    </r>
  </si>
  <si>
    <r>
      <t>38 NH</t>
    </r>
    <r>
      <rPr>
        <vertAlign val="subscript"/>
        <sz val="10"/>
        <rFont val="Arial"/>
        <family val="2"/>
      </rPr>
      <t>4</t>
    </r>
    <r>
      <rPr>
        <vertAlign val="superscript"/>
        <sz val="10"/>
        <rFont val="Arial"/>
        <family val="2"/>
      </rPr>
      <t>+</t>
    </r>
  </si>
  <si>
    <r>
      <t>38 H</t>
    </r>
    <r>
      <rPr>
        <vertAlign val="subscript"/>
        <sz val="10"/>
        <rFont val="Arial"/>
        <family val="2"/>
      </rPr>
      <t>2</t>
    </r>
    <r>
      <rPr>
        <sz val="10"/>
        <rFont val="Arial"/>
        <family val="0"/>
      </rPr>
      <t>AsO</t>
    </r>
    <r>
      <rPr>
        <vertAlign val="subscript"/>
        <sz val="10"/>
        <rFont val="Arial"/>
        <family val="2"/>
      </rPr>
      <t>4</t>
    </r>
    <r>
      <rPr>
        <vertAlign val="superscript"/>
        <sz val="10"/>
        <rFont val="Arial"/>
        <family val="2"/>
      </rPr>
      <t>-</t>
    </r>
  </si>
  <si>
    <r>
      <t>39 NO</t>
    </r>
    <r>
      <rPr>
        <vertAlign val="superscript"/>
        <sz val="10"/>
        <rFont val="Arial"/>
        <family val="2"/>
      </rPr>
      <t>+</t>
    </r>
  </si>
  <si>
    <r>
      <t>39 H</t>
    </r>
    <r>
      <rPr>
        <vertAlign val="subscript"/>
        <sz val="10"/>
        <rFont val="Arial"/>
        <family val="2"/>
      </rPr>
      <t>2</t>
    </r>
    <r>
      <rPr>
        <sz val="10"/>
        <rFont val="Arial"/>
        <family val="0"/>
      </rPr>
      <t>PO</t>
    </r>
    <r>
      <rPr>
        <vertAlign val="subscript"/>
        <sz val="10"/>
        <rFont val="Arial"/>
        <family val="2"/>
      </rPr>
      <t>4</t>
    </r>
    <r>
      <rPr>
        <vertAlign val="superscript"/>
        <sz val="10"/>
        <rFont val="Arial"/>
        <family val="2"/>
      </rPr>
      <t>-</t>
    </r>
  </si>
  <si>
    <r>
      <t>40 NO</t>
    </r>
    <r>
      <rPr>
        <vertAlign val="subscript"/>
        <sz val="10"/>
        <rFont val="Arial"/>
        <family val="2"/>
      </rPr>
      <t>2</t>
    </r>
    <r>
      <rPr>
        <vertAlign val="superscript"/>
        <sz val="10"/>
        <rFont val="Arial"/>
        <family val="2"/>
      </rPr>
      <t>+</t>
    </r>
  </si>
  <si>
    <r>
      <t>40 HCO</t>
    </r>
    <r>
      <rPr>
        <vertAlign val="subscript"/>
        <sz val="10"/>
        <rFont val="Arial"/>
        <family val="2"/>
      </rPr>
      <t>2</t>
    </r>
    <r>
      <rPr>
        <vertAlign val="superscript"/>
        <sz val="10"/>
        <rFont val="Arial"/>
        <family val="2"/>
      </rPr>
      <t>-</t>
    </r>
  </si>
  <si>
    <r>
      <t>41 O</t>
    </r>
    <r>
      <rPr>
        <vertAlign val="subscript"/>
        <sz val="10"/>
        <rFont val="Arial"/>
        <family val="2"/>
      </rPr>
      <t>2</t>
    </r>
    <r>
      <rPr>
        <sz val="10"/>
        <rFont val="Arial"/>
        <family val="0"/>
      </rPr>
      <t>(SCCF</t>
    </r>
    <r>
      <rPr>
        <vertAlign val="subscript"/>
        <sz val="10"/>
        <rFont val="Arial"/>
        <family val="2"/>
      </rPr>
      <t>3</t>
    </r>
    <r>
      <rPr>
        <sz val="10"/>
        <rFont val="Arial"/>
        <family val="0"/>
      </rPr>
      <t>Cl)</t>
    </r>
    <r>
      <rPr>
        <vertAlign val="subscript"/>
        <sz val="10"/>
        <rFont val="Arial"/>
        <family val="2"/>
      </rPr>
      <t>2</t>
    </r>
    <r>
      <rPr>
        <vertAlign val="superscript"/>
        <sz val="10"/>
        <rFont val="Arial"/>
        <family val="2"/>
      </rPr>
      <t>+</t>
    </r>
  </si>
  <si>
    <r>
      <t>41 HCO</t>
    </r>
    <r>
      <rPr>
        <vertAlign val="subscript"/>
        <sz val="10"/>
        <rFont val="Arial"/>
        <family val="2"/>
      </rPr>
      <t>3</t>
    </r>
    <r>
      <rPr>
        <vertAlign val="superscript"/>
        <sz val="10"/>
        <rFont val="Arial"/>
        <family val="2"/>
      </rPr>
      <t>-</t>
    </r>
  </si>
  <si>
    <r>
      <t>42 O</t>
    </r>
    <r>
      <rPr>
        <vertAlign val="subscript"/>
        <sz val="10"/>
        <rFont val="Arial"/>
        <family val="2"/>
      </rPr>
      <t>2</t>
    </r>
    <r>
      <rPr>
        <vertAlign val="superscript"/>
        <sz val="10"/>
        <rFont val="Arial"/>
        <family val="2"/>
      </rPr>
      <t>+</t>
    </r>
  </si>
  <si>
    <r>
      <t>42 HF</t>
    </r>
    <r>
      <rPr>
        <vertAlign val="subscript"/>
        <sz val="10"/>
        <rFont val="Arial"/>
        <family val="2"/>
      </rPr>
      <t>2</t>
    </r>
    <r>
      <rPr>
        <vertAlign val="superscript"/>
        <sz val="10"/>
        <rFont val="Arial"/>
        <family val="2"/>
      </rPr>
      <t>-</t>
    </r>
  </si>
  <si>
    <r>
      <t>43 ONCH</t>
    </r>
    <r>
      <rPr>
        <vertAlign val="subscript"/>
        <sz val="10"/>
        <rFont val="Arial"/>
        <family val="2"/>
      </rPr>
      <t>3</t>
    </r>
    <r>
      <rPr>
        <sz val="10"/>
        <rFont val="Arial"/>
        <family val="0"/>
      </rPr>
      <t>CF</t>
    </r>
    <r>
      <rPr>
        <vertAlign val="subscript"/>
        <sz val="10"/>
        <rFont val="Arial"/>
        <family val="2"/>
      </rPr>
      <t>3</t>
    </r>
    <r>
      <rPr>
        <vertAlign val="superscript"/>
        <sz val="10"/>
        <rFont val="Arial"/>
        <family val="2"/>
      </rPr>
      <t>+</t>
    </r>
  </si>
  <si>
    <r>
      <t>43 HSO</t>
    </r>
    <r>
      <rPr>
        <vertAlign val="subscript"/>
        <sz val="10"/>
        <rFont val="Arial"/>
        <family val="2"/>
      </rPr>
      <t>4</t>
    </r>
    <r>
      <rPr>
        <vertAlign val="superscript"/>
        <sz val="10"/>
        <rFont val="Arial"/>
        <family val="2"/>
      </rPr>
      <t>-</t>
    </r>
  </si>
  <si>
    <r>
      <t>44 P(CH</t>
    </r>
    <r>
      <rPr>
        <vertAlign val="subscript"/>
        <sz val="10"/>
        <rFont val="Arial"/>
        <family val="2"/>
      </rPr>
      <t>3</t>
    </r>
    <r>
      <rPr>
        <sz val="10"/>
        <rFont val="Arial"/>
        <family val="0"/>
      </rPr>
      <t>)</t>
    </r>
    <r>
      <rPr>
        <vertAlign val="subscript"/>
        <sz val="10"/>
        <rFont val="Arial"/>
        <family val="2"/>
      </rPr>
      <t>3</t>
    </r>
    <r>
      <rPr>
        <sz val="10"/>
        <rFont val="Arial"/>
        <family val="0"/>
      </rPr>
      <t>Cl</t>
    </r>
    <r>
      <rPr>
        <vertAlign val="superscript"/>
        <sz val="10"/>
        <rFont val="Arial"/>
        <family val="2"/>
      </rPr>
      <t>+</t>
    </r>
  </si>
  <si>
    <r>
      <t>44 I</t>
    </r>
    <r>
      <rPr>
        <vertAlign val="superscript"/>
        <sz val="10"/>
        <rFont val="Arial"/>
        <family val="2"/>
      </rPr>
      <t>-</t>
    </r>
  </si>
  <si>
    <r>
      <t>45 P(CH</t>
    </r>
    <r>
      <rPr>
        <vertAlign val="subscript"/>
        <sz val="10"/>
        <rFont val="Arial"/>
        <family val="2"/>
      </rPr>
      <t>3</t>
    </r>
    <r>
      <rPr>
        <sz val="10"/>
        <rFont val="Arial"/>
        <family val="0"/>
      </rPr>
      <t>)</t>
    </r>
    <r>
      <rPr>
        <vertAlign val="subscript"/>
        <sz val="10"/>
        <rFont val="Arial"/>
        <family val="2"/>
      </rPr>
      <t>3</t>
    </r>
    <r>
      <rPr>
        <sz val="10"/>
        <rFont val="Arial"/>
        <family val="0"/>
      </rPr>
      <t>D</t>
    </r>
    <r>
      <rPr>
        <vertAlign val="superscript"/>
        <sz val="10"/>
        <rFont val="Arial"/>
        <family val="2"/>
      </rPr>
      <t>+</t>
    </r>
  </si>
  <si>
    <r>
      <t>45 I</t>
    </r>
    <r>
      <rPr>
        <vertAlign val="subscript"/>
        <sz val="10"/>
        <rFont val="Arial"/>
        <family val="2"/>
      </rPr>
      <t>2</t>
    </r>
    <r>
      <rPr>
        <sz val="10"/>
        <rFont val="Arial"/>
        <family val="0"/>
      </rPr>
      <t>Br</t>
    </r>
    <r>
      <rPr>
        <vertAlign val="superscript"/>
        <sz val="10"/>
        <rFont val="Arial"/>
        <family val="2"/>
      </rPr>
      <t>-</t>
    </r>
  </si>
  <si>
    <r>
      <t>46 PCl</t>
    </r>
    <r>
      <rPr>
        <vertAlign val="subscript"/>
        <sz val="10"/>
        <rFont val="Arial"/>
        <family val="2"/>
      </rPr>
      <t>4</t>
    </r>
    <r>
      <rPr>
        <vertAlign val="superscript"/>
        <sz val="10"/>
        <rFont val="Arial"/>
        <family val="2"/>
      </rPr>
      <t>+</t>
    </r>
  </si>
  <si>
    <r>
      <t>46 I</t>
    </r>
    <r>
      <rPr>
        <vertAlign val="subscript"/>
        <sz val="10"/>
        <rFont val="Arial"/>
        <family val="2"/>
      </rPr>
      <t>3</t>
    </r>
    <r>
      <rPr>
        <vertAlign val="superscript"/>
        <sz val="10"/>
        <rFont val="Arial"/>
        <family val="2"/>
      </rPr>
      <t>-</t>
    </r>
  </si>
  <si>
    <r>
      <t>47 S(CH</t>
    </r>
    <r>
      <rPr>
        <vertAlign val="subscript"/>
        <sz val="10"/>
        <rFont val="Arial"/>
        <family val="0"/>
      </rPr>
      <t>3</t>
    </r>
    <r>
      <rPr>
        <sz val="10"/>
        <rFont val="Arial"/>
        <family val="0"/>
      </rPr>
      <t>)</t>
    </r>
    <r>
      <rPr>
        <vertAlign val="subscript"/>
        <sz val="10"/>
        <rFont val="Arial"/>
        <family val="0"/>
      </rPr>
      <t>2</t>
    </r>
    <r>
      <rPr>
        <sz val="10"/>
        <rFont val="Arial"/>
        <family val="0"/>
      </rPr>
      <t>Cl</t>
    </r>
    <r>
      <rPr>
        <vertAlign val="superscript"/>
        <sz val="10"/>
        <rFont val="Arial"/>
        <family val="0"/>
      </rPr>
      <t>+</t>
    </r>
  </si>
  <si>
    <r>
      <t>47 I</t>
    </r>
    <r>
      <rPr>
        <vertAlign val="subscript"/>
        <sz val="10"/>
        <rFont val="Arial"/>
        <family val="2"/>
      </rPr>
      <t>4</t>
    </r>
    <r>
      <rPr>
        <vertAlign val="superscript"/>
        <sz val="10"/>
        <rFont val="Arial"/>
        <family val="2"/>
      </rPr>
      <t>-</t>
    </r>
  </si>
  <si>
    <r>
      <t>48 S(N(C</t>
    </r>
    <r>
      <rPr>
        <vertAlign val="subscript"/>
        <sz val="10"/>
        <rFont val="Arial"/>
        <family val="0"/>
      </rPr>
      <t>2</t>
    </r>
    <r>
      <rPr>
        <sz val="10"/>
        <rFont val="Arial"/>
        <family val="0"/>
      </rPr>
      <t>H</t>
    </r>
    <r>
      <rPr>
        <vertAlign val="subscript"/>
        <sz val="10"/>
        <rFont val="Arial"/>
        <family val="0"/>
      </rPr>
      <t>5</t>
    </r>
    <r>
      <rPr>
        <sz val="10"/>
        <rFont val="Arial"/>
        <family val="0"/>
      </rPr>
      <t>)</t>
    </r>
    <r>
      <rPr>
        <vertAlign val="subscript"/>
        <sz val="10"/>
        <rFont val="Arial"/>
        <family val="0"/>
      </rPr>
      <t>3</t>
    </r>
    <r>
      <rPr>
        <sz val="10"/>
        <rFont val="Arial"/>
        <family val="0"/>
      </rPr>
      <t>)</t>
    </r>
    <r>
      <rPr>
        <vertAlign val="subscript"/>
        <sz val="10"/>
        <rFont val="Arial"/>
        <family val="2"/>
      </rPr>
      <t>3</t>
    </r>
    <r>
      <rPr>
        <vertAlign val="superscript"/>
        <sz val="10"/>
        <rFont val="Arial"/>
        <family val="0"/>
      </rPr>
      <t>+</t>
    </r>
  </si>
  <si>
    <r>
      <t>48 IBr</t>
    </r>
    <r>
      <rPr>
        <vertAlign val="subscript"/>
        <sz val="10"/>
        <rFont val="Arial"/>
        <family val="2"/>
      </rPr>
      <t>2</t>
    </r>
    <r>
      <rPr>
        <vertAlign val="superscript"/>
        <sz val="10"/>
        <rFont val="Arial"/>
        <family val="2"/>
      </rPr>
      <t>-</t>
    </r>
  </si>
  <si>
    <r>
      <t>49 S</t>
    </r>
    <r>
      <rPr>
        <vertAlign val="subscript"/>
        <sz val="10"/>
        <rFont val="Arial"/>
        <family val="0"/>
      </rPr>
      <t>2</t>
    </r>
    <r>
      <rPr>
        <sz val="10"/>
        <rFont val="Arial"/>
        <family val="0"/>
      </rPr>
      <t>(CH</t>
    </r>
    <r>
      <rPr>
        <vertAlign val="subscript"/>
        <sz val="10"/>
        <rFont val="Arial"/>
        <family val="0"/>
      </rPr>
      <t>3</t>
    </r>
    <r>
      <rPr>
        <sz val="10"/>
        <rFont val="Arial"/>
        <family val="0"/>
      </rPr>
      <t>)</t>
    </r>
    <r>
      <rPr>
        <vertAlign val="subscript"/>
        <sz val="10"/>
        <rFont val="Arial"/>
        <family val="0"/>
      </rPr>
      <t>2</t>
    </r>
    <r>
      <rPr>
        <sz val="10"/>
        <rFont val="Arial"/>
        <family val="0"/>
      </rPr>
      <t>Cl</t>
    </r>
    <r>
      <rPr>
        <vertAlign val="superscript"/>
        <sz val="10"/>
        <rFont val="Arial"/>
        <family val="0"/>
      </rPr>
      <t>+</t>
    </r>
  </si>
  <si>
    <r>
      <t>49 ICl</t>
    </r>
    <r>
      <rPr>
        <vertAlign val="subscript"/>
        <sz val="10"/>
        <rFont val="Arial"/>
        <family val="2"/>
      </rPr>
      <t>2</t>
    </r>
    <r>
      <rPr>
        <vertAlign val="superscript"/>
        <sz val="10"/>
        <rFont val="Arial"/>
        <family val="2"/>
      </rPr>
      <t>-</t>
    </r>
  </si>
  <si>
    <r>
      <t>50 S</t>
    </r>
    <r>
      <rPr>
        <vertAlign val="subscript"/>
        <sz val="10"/>
        <rFont val="Arial"/>
        <family val="0"/>
      </rPr>
      <t>2</t>
    </r>
    <r>
      <rPr>
        <sz val="10"/>
        <rFont val="Arial"/>
        <family val="0"/>
      </rPr>
      <t>(CH</t>
    </r>
    <r>
      <rPr>
        <vertAlign val="subscript"/>
        <sz val="10"/>
        <rFont val="Arial"/>
        <family val="0"/>
      </rPr>
      <t>3</t>
    </r>
    <r>
      <rPr>
        <sz val="10"/>
        <rFont val="Arial"/>
        <family val="0"/>
      </rPr>
      <t>)</t>
    </r>
    <r>
      <rPr>
        <vertAlign val="subscript"/>
        <sz val="10"/>
        <rFont val="Arial"/>
        <family val="0"/>
      </rPr>
      <t>2</t>
    </r>
    <r>
      <rPr>
        <sz val="10"/>
        <rFont val="Arial"/>
        <family val="0"/>
      </rPr>
      <t>CN</t>
    </r>
    <r>
      <rPr>
        <vertAlign val="superscript"/>
        <sz val="10"/>
        <rFont val="Arial"/>
        <family val="0"/>
      </rPr>
      <t>+</t>
    </r>
  </si>
  <si>
    <r>
      <t>50 ICl</t>
    </r>
    <r>
      <rPr>
        <vertAlign val="subscript"/>
        <sz val="10"/>
        <rFont val="Arial"/>
        <family val="2"/>
      </rPr>
      <t>4</t>
    </r>
    <r>
      <rPr>
        <vertAlign val="superscript"/>
        <sz val="10"/>
        <rFont val="Arial"/>
        <family val="2"/>
      </rPr>
      <t>-</t>
    </r>
  </si>
  <si>
    <r>
      <t>51 S</t>
    </r>
    <r>
      <rPr>
        <vertAlign val="subscript"/>
        <sz val="10"/>
        <rFont val="Arial"/>
        <family val="0"/>
      </rPr>
      <t>2</t>
    </r>
    <r>
      <rPr>
        <sz val="10"/>
        <rFont val="Arial"/>
        <family val="0"/>
      </rPr>
      <t>(CH</t>
    </r>
    <r>
      <rPr>
        <vertAlign val="subscript"/>
        <sz val="10"/>
        <rFont val="Arial"/>
        <family val="0"/>
      </rPr>
      <t>3</t>
    </r>
    <r>
      <rPr>
        <sz val="10"/>
        <rFont val="Arial"/>
        <family val="0"/>
      </rPr>
      <t>)</t>
    </r>
    <r>
      <rPr>
        <vertAlign val="subscript"/>
        <sz val="10"/>
        <rFont val="Arial"/>
        <family val="2"/>
      </rPr>
      <t>3</t>
    </r>
    <r>
      <rPr>
        <vertAlign val="superscript"/>
        <sz val="10"/>
        <rFont val="Arial"/>
        <family val="0"/>
      </rPr>
      <t>+</t>
    </r>
  </si>
  <si>
    <r>
      <t>51 IO</t>
    </r>
    <r>
      <rPr>
        <vertAlign val="subscript"/>
        <sz val="10"/>
        <rFont val="Arial"/>
        <family val="2"/>
      </rPr>
      <t>2</t>
    </r>
    <r>
      <rPr>
        <sz val="10"/>
        <rFont val="Arial"/>
        <family val="0"/>
      </rPr>
      <t>F</t>
    </r>
    <r>
      <rPr>
        <vertAlign val="subscript"/>
        <sz val="10"/>
        <rFont val="Arial"/>
        <family val="2"/>
      </rPr>
      <t>2</t>
    </r>
    <r>
      <rPr>
        <vertAlign val="superscript"/>
        <sz val="10"/>
        <rFont val="Arial"/>
        <family val="2"/>
      </rPr>
      <t>-</t>
    </r>
  </si>
  <si>
    <r>
      <t>52 S</t>
    </r>
    <r>
      <rPr>
        <vertAlign val="subscript"/>
        <sz val="10"/>
        <rFont val="Arial"/>
        <family val="0"/>
      </rPr>
      <t>2</t>
    </r>
    <r>
      <rPr>
        <sz val="10"/>
        <rFont val="Arial"/>
        <family val="0"/>
      </rPr>
      <t>Br</t>
    </r>
    <r>
      <rPr>
        <vertAlign val="subscript"/>
        <sz val="10"/>
        <rFont val="Arial"/>
        <family val="0"/>
      </rPr>
      <t>5</t>
    </r>
    <r>
      <rPr>
        <vertAlign val="superscript"/>
        <sz val="10"/>
        <rFont val="Arial"/>
        <family val="0"/>
      </rPr>
      <t>+</t>
    </r>
  </si>
  <si>
    <r>
      <t>52 IO</t>
    </r>
    <r>
      <rPr>
        <vertAlign val="subscript"/>
        <sz val="10"/>
        <rFont val="Arial"/>
        <family val="2"/>
      </rPr>
      <t>3</t>
    </r>
    <r>
      <rPr>
        <vertAlign val="superscript"/>
        <sz val="10"/>
        <rFont val="Arial"/>
        <family val="2"/>
      </rPr>
      <t>-</t>
    </r>
  </si>
  <si>
    <r>
      <t>53 S</t>
    </r>
    <r>
      <rPr>
        <vertAlign val="subscript"/>
        <sz val="10"/>
        <rFont val="Arial"/>
        <family val="0"/>
      </rPr>
      <t>2</t>
    </r>
    <r>
      <rPr>
        <sz val="10"/>
        <rFont val="Arial"/>
        <family val="0"/>
      </rPr>
      <t>N</t>
    </r>
    <r>
      <rPr>
        <vertAlign val="superscript"/>
        <sz val="10"/>
        <rFont val="Arial"/>
        <family val="0"/>
      </rPr>
      <t>+</t>
    </r>
  </si>
  <si>
    <r>
      <t>53 IO</t>
    </r>
    <r>
      <rPr>
        <vertAlign val="subscript"/>
        <sz val="10"/>
        <rFont val="Arial"/>
        <family val="2"/>
      </rPr>
      <t>4</t>
    </r>
    <r>
      <rPr>
        <vertAlign val="superscript"/>
        <sz val="10"/>
        <rFont val="Arial"/>
        <family val="2"/>
      </rPr>
      <t>-</t>
    </r>
  </si>
  <si>
    <r>
      <t>54 S</t>
    </r>
    <r>
      <rPr>
        <vertAlign val="subscript"/>
        <sz val="10"/>
        <rFont val="Arial"/>
        <family val="0"/>
      </rPr>
      <t>2</t>
    </r>
    <r>
      <rPr>
        <sz val="10"/>
        <rFont val="Arial"/>
        <family val="0"/>
      </rPr>
      <t>N</t>
    </r>
    <r>
      <rPr>
        <vertAlign val="subscript"/>
        <sz val="10"/>
        <rFont val="Arial"/>
        <family val="0"/>
      </rPr>
      <t>2</t>
    </r>
    <r>
      <rPr>
        <sz val="10"/>
        <rFont val="Arial"/>
        <family val="0"/>
      </rPr>
      <t>C</t>
    </r>
    <r>
      <rPr>
        <vertAlign val="subscript"/>
        <sz val="10"/>
        <rFont val="Arial"/>
        <family val="0"/>
      </rPr>
      <t>2</t>
    </r>
    <r>
      <rPr>
        <sz val="10"/>
        <rFont val="Arial"/>
        <family val="0"/>
      </rPr>
      <t>H</t>
    </r>
    <r>
      <rPr>
        <vertAlign val="subscript"/>
        <sz val="10"/>
        <rFont val="Arial"/>
        <family val="2"/>
      </rPr>
      <t>3</t>
    </r>
    <r>
      <rPr>
        <vertAlign val="superscript"/>
        <sz val="10"/>
        <rFont val="Arial"/>
        <family val="0"/>
      </rPr>
      <t>+</t>
    </r>
  </si>
  <si>
    <r>
      <t>54 IrF</t>
    </r>
    <r>
      <rPr>
        <vertAlign val="subscript"/>
        <sz val="10"/>
        <rFont val="Arial"/>
        <family val="2"/>
      </rPr>
      <t>6</t>
    </r>
    <r>
      <rPr>
        <vertAlign val="superscript"/>
        <sz val="10"/>
        <rFont val="Arial"/>
        <family val="2"/>
      </rPr>
      <t>-</t>
    </r>
  </si>
  <si>
    <r>
      <t>55 S</t>
    </r>
    <r>
      <rPr>
        <vertAlign val="subscript"/>
        <sz val="10"/>
        <rFont val="Arial"/>
        <family val="0"/>
      </rPr>
      <t>2</t>
    </r>
    <r>
      <rPr>
        <sz val="10"/>
        <rFont val="Arial"/>
        <family val="0"/>
      </rPr>
      <t>NC</t>
    </r>
    <r>
      <rPr>
        <vertAlign val="subscript"/>
        <sz val="10"/>
        <rFont val="Arial"/>
        <family val="0"/>
      </rPr>
      <t>2</t>
    </r>
    <r>
      <rPr>
        <sz val="10"/>
        <rFont val="Arial"/>
        <family val="0"/>
      </rPr>
      <t>(PhCH</t>
    </r>
    <r>
      <rPr>
        <vertAlign val="subscript"/>
        <sz val="10"/>
        <rFont val="Arial"/>
        <family val="0"/>
      </rPr>
      <t>3</t>
    </r>
    <r>
      <rPr>
        <sz val="10"/>
        <rFont val="Arial"/>
        <family val="0"/>
      </rPr>
      <t>)</t>
    </r>
    <r>
      <rPr>
        <vertAlign val="subscript"/>
        <sz val="10"/>
        <rFont val="Arial"/>
        <family val="2"/>
      </rPr>
      <t>2</t>
    </r>
    <r>
      <rPr>
        <vertAlign val="superscript"/>
        <sz val="10"/>
        <rFont val="Arial"/>
        <family val="0"/>
      </rPr>
      <t>+</t>
    </r>
  </si>
  <si>
    <r>
      <t>55 MnO</t>
    </r>
    <r>
      <rPr>
        <vertAlign val="subscript"/>
        <sz val="10"/>
        <rFont val="Arial"/>
        <family val="2"/>
      </rPr>
      <t>4</t>
    </r>
    <r>
      <rPr>
        <vertAlign val="superscript"/>
        <sz val="10"/>
        <rFont val="Arial"/>
        <family val="2"/>
      </rPr>
      <t>-</t>
    </r>
  </si>
  <si>
    <r>
      <t>56 S</t>
    </r>
    <r>
      <rPr>
        <vertAlign val="subscript"/>
        <sz val="10"/>
        <rFont val="Arial"/>
        <family val="0"/>
      </rPr>
      <t>2</t>
    </r>
    <r>
      <rPr>
        <sz val="10"/>
        <rFont val="Arial"/>
        <family val="0"/>
      </rPr>
      <t>NC</t>
    </r>
    <r>
      <rPr>
        <vertAlign val="subscript"/>
        <sz val="10"/>
        <rFont val="Arial"/>
        <family val="0"/>
      </rPr>
      <t>3</t>
    </r>
    <r>
      <rPr>
        <sz val="10"/>
        <rFont val="Arial"/>
        <family val="0"/>
      </rPr>
      <t>H</t>
    </r>
    <r>
      <rPr>
        <vertAlign val="subscript"/>
        <sz val="10"/>
        <rFont val="Arial"/>
        <family val="0"/>
      </rPr>
      <t>4</t>
    </r>
    <r>
      <rPr>
        <vertAlign val="superscript"/>
        <sz val="10"/>
        <rFont val="Arial"/>
        <family val="0"/>
      </rPr>
      <t>+</t>
    </r>
  </si>
  <si>
    <r>
      <t>56 MoF</t>
    </r>
    <r>
      <rPr>
        <vertAlign val="subscript"/>
        <sz val="10"/>
        <rFont val="Arial"/>
        <family val="2"/>
      </rPr>
      <t>6</t>
    </r>
    <r>
      <rPr>
        <vertAlign val="superscript"/>
        <sz val="10"/>
        <rFont val="Arial"/>
        <family val="2"/>
      </rPr>
      <t>-</t>
    </r>
  </si>
  <si>
    <r>
      <t>57 S</t>
    </r>
    <r>
      <rPr>
        <vertAlign val="subscript"/>
        <sz val="10"/>
        <rFont val="Arial"/>
        <family val="0"/>
      </rPr>
      <t>2</t>
    </r>
    <r>
      <rPr>
        <sz val="10"/>
        <rFont val="Arial"/>
        <family val="0"/>
      </rPr>
      <t>NC</t>
    </r>
    <r>
      <rPr>
        <vertAlign val="subscript"/>
        <sz val="10"/>
        <rFont val="Arial"/>
        <family val="0"/>
      </rPr>
      <t>4</t>
    </r>
    <r>
      <rPr>
        <sz val="10"/>
        <rFont val="Arial"/>
        <family val="0"/>
      </rPr>
      <t>H</t>
    </r>
    <r>
      <rPr>
        <vertAlign val="subscript"/>
        <sz val="10"/>
        <rFont val="Arial"/>
        <family val="0"/>
      </rPr>
      <t>8</t>
    </r>
    <r>
      <rPr>
        <vertAlign val="superscript"/>
        <sz val="10"/>
        <rFont val="Arial"/>
        <family val="0"/>
      </rPr>
      <t>+</t>
    </r>
  </si>
  <si>
    <r>
      <t>57 MoOF</t>
    </r>
    <r>
      <rPr>
        <vertAlign val="subscript"/>
        <sz val="10"/>
        <rFont val="Arial"/>
        <family val="2"/>
      </rPr>
      <t>5</t>
    </r>
    <r>
      <rPr>
        <vertAlign val="superscript"/>
        <sz val="10"/>
        <rFont val="Arial"/>
        <family val="2"/>
      </rPr>
      <t>-</t>
    </r>
  </si>
  <si>
    <r>
      <t xml:space="preserve">Ca(s) </t>
    </r>
    <r>
      <rPr>
        <sz val="10"/>
        <rFont val="Symbol"/>
        <family val="1"/>
      </rPr>
      <t>®</t>
    </r>
    <r>
      <rPr>
        <sz val="10"/>
        <rFont val="Arial"/>
        <family val="0"/>
      </rPr>
      <t xml:space="preserve"> Ca(g)</t>
    </r>
  </si>
  <si>
    <r>
      <t xml:space="preserve">Ca(g) </t>
    </r>
    <r>
      <rPr>
        <sz val="10"/>
        <rFont val="Symbol"/>
        <family val="1"/>
      </rPr>
      <t>®</t>
    </r>
    <r>
      <rPr>
        <sz val="10"/>
        <rFont val="Arial"/>
        <family val="0"/>
      </rPr>
      <t xml:space="preserve"> Ca</t>
    </r>
    <r>
      <rPr>
        <vertAlign val="superscript"/>
        <sz val="10"/>
        <rFont val="Arial"/>
        <family val="0"/>
      </rPr>
      <t>2+</t>
    </r>
    <r>
      <rPr>
        <sz val="10"/>
        <rFont val="Arial"/>
        <family val="0"/>
      </rPr>
      <t>(g) + 2e</t>
    </r>
    <r>
      <rPr>
        <vertAlign val="superscript"/>
        <sz val="10"/>
        <rFont val="Arial"/>
        <family val="0"/>
      </rPr>
      <t>–</t>
    </r>
    <r>
      <rPr>
        <sz val="10"/>
        <rFont val="Arial"/>
        <family val="0"/>
      </rPr>
      <t>(g)</t>
    </r>
  </si>
  <si>
    <r>
      <t>Cl</t>
    </r>
    <r>
      <rPr>
        <vertAlign val="subscript"/>
        <sz val="10"/>
        <rFont val="Arial"/>
        <family val="0"/>
      </rPr>
      <t>2</t>
    </r>
    <r>
      <rPr>
        <sz val="10"/>
        <rFont val="Arial"/>
        <family val="0"/>
      </rPr>
      <t xml:space="preserve">(g) </t>
    </r>
    <r>
      <rPr>
        <sz val="10"/>
        <rFont val="Symbol"/>
        <family val="1"/>
      </rPr>
      <t>®</t>
    </r>
    <r>
      <rPr>
        <sz val="10"/>
        <rFont val="Arial"/>
        <family val="0"/>
      </rPr>
      <t xml:space="preserve"> 2Cl(g)</t>
    </r>
  </si>
  <si>
    <r>
      <t>2e</t>
    </r>
    <r>
      <rPr>
        <vertAlign val="superscript"/>
        <sz val="10"/>
        <rFont val="Arial"/>
        <family val="0"/>
      </rPr>
      <t>–</t>
    </r>
    <r>
      <rPr>
        <sz val="10"/>
        <rFont val="Arial"/>
        <family val="0"/>
      </rPr>
      <t xml:space="preserve">(g) + 2Cl(g) </t>
    </r>
    <r>
      <rPr>
        <sz val="10"/>
        <rFont val="Symbol"/>
        <family val="1"/>
      </rPr>
      <t>®</t>
    </r>
    <r>
      <rPr>
        <sz val="10"/>
        <rFont val="Arial"/>
        <family val="0"/>
      </rPr>
      <t xml:space="preserve"> 2Cl</t>
    </r>
    <r>
      <rPr>
        <vertAlign val="superscript"/>
        <sz val="10"/>
        <rFont val="Arial"/>
        <family val="0"/>
      </rPr>
      <t>–</t>
    </r>
    <r>
      <rPr>
        <sz val="10"/>
        <rFont val="Arial"/>
        <family val="0"/>
      </rPr>
      <t>(g)</t>
    </r>
  </si>
  <si>
    <r>
      <t>Ca</t>
    </r>
    <r>
      <rPr>
        <vertAlign val="superscript"/>
        <sz val="10"/>
        <rFont val="Arial"/>
        <family val="0"/>
      </rPr>
      <t>2+</t>
    </r>
    <r>
      <rPr>
        <sz val="10"/>
        <rFont val="Arial"/>
        <family val="0"/>
      </rPr>
      <t>(g) + 2Cl</t>
    </r>
    <r>
      <rPr>
        <vertAlign val="superscript"/>
        <sz val="10"/>
        <rFont val="Arial"/>
        <family val="0"/>
      </rPr>
      <t>–</t>
    </r>
    <r>
      <rPr>
        <sz val="10"/>
        <rFont val="Arial"/>
        <family val="0"/>
      </rPr>
      <t xml:space="preserve">(g) </t>
    </r>
    <r>
      <rPr>
        <sz val="10"/>
        <rFont val="Symbol"/>
        <family val="1"/>
      </rPr>
      <t>®</t>
    </r>
    <r>
      <rPr>
        <sz val="10"/>
        <rFont val="Arial"/>
        <family val="0"/>
      </rPr>
      <t xml:space="preserve"> CaCl</t>
    </r>
    <r>
      <rPr>
        <vertAlign val="subscript"/>
        <sz val="10"/>
        <rFont val="Arial"/>
        <family val="0"/>
      </rPr>
      <t>2</t>
    </r>
    <r>
      <rPr>
        <sz val="10"/>
        <rFont val="Arial"/>
        <family val="0"/>
      </rPr>
      <t>(s)</t>
    </r>
  </si>
  <si>
    <r>
      <t>Ca(s) + Cl</t>
    </r>
    <r>
      <rPr>
        <vertAlign val="subscript"/>
        <sz val="10"/>
        <rFont val="Arial"/>
        <family val="0"/>
      </rPr>
      <t>2</t>
    </r>
    <r>
      <rPr>
        <sz val="10"/>
        <rFont val="Arial"/>
        <family val="0"/>
      </rPr>
      <t xml:space="preserve">(g) </t>
    </r>
    <r>
      <rPr>
        <sz val="10"/>
        <rFont val="Symbol"/>
        <family val="1"/>
      </rPr>
      <t>®</t>
    </r>
    <r>
      <rPr>
        <sz val="10"/>
        <rFont val="Arial"/>
        <family val="0"/>
      </rPr>
      <t xml:space="preserve"> CaCl</t>
    </r>
    <r>
      <rPr>
        <vertAlign val="subscript"/>
        <sz val="10"/>
        <rFont val="Arial"/>
        <family val="0"/>
      </rPr>
      <t>2</t>
    </r>
    <r>
      <rPr>
        <sz val="10"/>
        <rFont val="Arial"/>
        <family val="0"/>
      </rPr>
      <t>(s)</t>
    </r>
  </si>
  <si>
    <t>TiO2 (rutile)</t>
  </si>
  <si>
    <r>
      <t>58 S</t>
    </r>
    <r>
      <rPr>
        <vertAlign val="subscript"/>
        <sz val="10"/>
        <rFont val="Arial"/>
        <family val="0"/>
      </rPr>
      <t>3</t>
    </r>
    <r>
      <rPr>
        <sz val="10"/>
        <rFont val="Arial"/>
        <family val="0"/>
      </rPr>
      <t>(CH</t>
    </r>
    <r>
      <rPr>
        <vertAlign val="subscript"/>
        <sz val="10"/>
        <rFont val="Arial"/>
        <family val="0"/>
      </rPr>
      <t>3</t>
    </r>
    <r>
      <rPr>
        <sz val="10"/>
        <rFont val="Arial"/>
        <family val="0"/>
      </rPr>
      <t>)</t>
    </r>
    <r>
      <rPr>
        <vertAlign val="subscript"/>
        <sz val="10"/>
        <rFont val="Arial"/>
        <family val="2"/>
      </rPr>
      <t>3</t>
    </r>
    <r>
      <rPr>
        <vertAlign val="superscript"/>
        <sz val="10"/>
        <rFont val="Arial"/>
        <family val="0"/>
      </rPr>
      <t>+</t>
    </r>
  </si>
  <si>
    <r>
      <t>58 N</t>
    </r>
    <r>
      <rPr>
        <vertAlign val="subscript"/>
        <sz val="10"/>
        <rFont val="Arial"/>
        <family val="2"/>
      </rPr>
      <t>3</t>
    </r>
    <r>
      <rPr>
        <vertAlign val="superscript"/>
        <sz val="10"/>
        <rFont val="Arial"/>
        <family val="2"/>
      </rPr>
      <t>-</t>
    </r>
  </si>
  <si>
    <r>
      <t>59 S</t>
    </r>
    <r>
      <rPr>
        <vertAlign val="subscript"/>
        <sz val="10"/>
        <rFont val="Arial"/>
        <family val="0"/>
      </rPr>
      <t>3</t>
    </r>
    <r>
      <rPr>
        <sz val="10"/>
        <rFont val="Arial"/>
        <family val="0"/>
      </rPr>
      <t>Br</t>
    </r>
    <r>
      <rPr>
        <vertAlign val="subscript"/>
        <sz val="10"/>
        <rFont val="Arial"/>
        <family val="2"/>
      </rPr>
      <t>3</t>
    </r>
    <r>
      <rPr>
        <vertAlign val="superscript"/>
        <sz val="10"/>
        <rFont val="Arial"/>
        <family val="0"/>
      </rPr>
      <t>+</t>
    </r>
  </si>
  <si>
    <r>
      <t>59 NbCl</t>
    </r>
    <r>
      <rPr>
        <vertAlign val="subscript"/>
        <sz val="10"/>
        <rFont val="Arial"/>
        <family val="2"/>
      </rPr>
      <t>6</t>
    </r>
    <r>
      <rPr>
        <vertAlign val="superscript"/>
        <sz val="10"/>
        <rFont val="Arial"/>
        <family val="2"/>
      </rPr>
      <t>-</t>
    </r>
  </si>
  <si>
    <r>
      <t>60 S</t>
    </r>
    <r>
      <rPr>
        <vertAlign val="subscript"/>
        <sz val="10"/>
        <rFont val="Arial"/>
        <family val="0"/>
      </rPr>
      <t>3</t>
    </r>
    <r>
      <rPr>
        <sz val="10"/>
        <rFont val="Arial"/>
        <family val="0"/>
      </rPr>
      <t>C</t>
    </r>
    <r>
      <rPr>
        <vertAlign val="subscript"/>
        <sz val="10"/>
        <rFont val="Arial"/>
        <family val="0"/>
      </rPr>
      <t>3</t>
    </r>
    <r>
      <rPr>
        <sz val="10"/>
        <rFont val="Arial"/>
        <family val="0"/>
      </rPr>
      <t>H</t>
    </r>
    <r>
      <rPr>
        <vertAlign val="subscript"/>
        <sz val="10"/>
        <rFont val="Arial"/>
        <family val="0"/>
      </rPr>
      <t>7</t>
    </r>
    <r>
      <rPr>
        <vertAlign val="superscript"/>
        <sz val="10"/>
        <rFont val="Arial"/>
        <family val="0"/>
      </rPr>
      <t>+</t>
    </r>
  </si>
  <si>
    <r>
      <t>60 NbF</t>
    </r>
    <r>
      <rPr>
        <vertAlign val="subscript"/>
        <sz val="10"/>
        <rFont val="Arial"/>
        <family val="2"/>
      </rPr>
      <t>6</t>
    </r>
    <r>
      <rPr>
        <vertAlign val="superscript"/>
        <sz val="10"/>
        <rFont val="Arial"/>
        <family val="2"/>
      </rPr>
      <t>-</t>
    </r>
  </si>
  <si>
    <r>
      <t>61 S</t>
    </r>
    <r>
      <rPr>
        <vertAlign val="subscript"/>
        <sz val="10"/>
        <rFont val="Arial"/>
        <family val="0"/>
      </rPr>
      <t>3</t>
    </r>
    <r>
      <rPr>
        <sz val="10"/>
        <rFont val="Arial"/>
        <family val="0"/>
      </rPr>
      <t>C</t>
    </r>
    <r>
      <rPr>
        <vertAlign val="subscript"/>
        <sz val="10"/>
        <rFont val="Arial"/>
        <family val="0"/>
      </rPr>
      <t>4</t>
    </r>
    <r>
      <rPr>
        <sz val="10"/>
        <rFont val="Arial"/>
        <family val="0"/>
      </rPr>
      <t>F</t>
    </r>
    <r>
      <rPr>
        <vertAlign val="subscript"/>
        <sz val="10"/>
        <rFont val="Arial"/>
        <family val="0"/>
      </rPr>
      <t>6</t>
    </r>
    <r>
      <rPr>
        <vertAlign val="superscript"/>
        <sz val="10"/>
        <rFont val="Arial"/>
        <family val="0"/>
      </rPr>
      <t>+</t>
    </r>
  </si>
  <si>
    <r>
      <t>61 NbO</t>
    </r>
    <r>
      <rPr>
        <vertAlign val="subscript"/>
        <sz val="10"/>
        <rFont val="Arial"/>
        <family val="2"/>
      </rPr>
      <t>3</t>
    </r>
    <r>
      <rPr>
        <vertAlign val="superscript"/>
        <sz val="10"/>
        <rFont val="Arial"/>
        <family val="2"/>
      </rPr>
      <t>-</t>
    </r>
  </si>
  <si>
    <r>
      <t>62 S</t>
    </r>
    <r>
      <rPr>
        <vertAlign val="subscript"/>
        <sz val="10"/>
        <rFont val="Arial"/>
        <family val="0"/>
      </rPr>
      <t>3</t>
    </r>
    <r>
      <rPr>
        <sz val="10"/>
        <rFont val="Arial"/>
        <family val="0"/>
      </rPr>
      <t>CF</t>
    </r>
    <r>
      <rPr>
        <vertAlign val="subscript"/>
        <sz val="10"/>
        <rFont val="Arial"/>
        <family val="0"/>
      </rPr>
      <t>3</t>
    </r>
    <r>
      <rPr>
        <sz val="10"/>
        <rFont val="Arial"/>
        <family val="0"/>
      </rPr>
      <t>CN</t>
    </r>
    <r>
      <rPr>
        <vertAlign val="superscript"/>
        <sz val="10"/>
        <rFont val="Arial"/>
        <family val="0"/>
      </rPr>
      <t>+</t>
    </r>
  </si>
  <si>
    <r>
      <t>62 Nb</t>
    </r>
    <r>
      <rPr>
        <vertAlign val="subscript"/>
        <sz val="10"/>
        <rFont val="Arial"/>
        <family val="2"/>
      </rPr>
      <t>2</t>
    </r>
    <r>
      <rPr>
        <sz val="10"/>
        <rFont val="Arial"/>
        <family val="0"/>
      </rPr>
      <t>F</t>
    </r>
    <r>
      <rPr>
        <vertAlign val="subscript"/>
        <sz val="10"/>
        <rFont val="Arial"/>
        <family val="2"/>
      </rPr>
      <t>11</t>
    </r>
    <r>
      <rPr>
        <vertAlign val="superscript"/>
        <sz val="10"/>
        <rFont val="Arial"/>
        <family val="2"/>
      </rPr>
      <t>-</t>
    </r>
  </si>
  <si>
    <r>
      <t>63 S</t>
    </r>
    <r>
      <rPr>
        <vertAlign val="subscript"/>
        <sz val="10"/>
        <rFont val="Arial"/>
        <family val="0"/>
      </rPr>
      <t>3</t>
    </r>
    <r>
      <rPr>
        <sz val="10"/>
        <rFont val="Arial"/>
        <family val="0"/>
      </rPr>
      <t>Cl</t>
    </r>
    <r>
      <rPr>
        <vertAlign val="subscript"/>
        <sz val="10"/>
        <rFont val="Arial"/>
        <family val="2"/>
      </rPr>
      <t>3</t>
    </r>
    <r>
      <rPr>
        <vertAlign val="superscript"/>
        <sz val="10"/>
        <rFont val="Arial"/>
        <family val="0"/>
      </rPr>
      <t>+</t>
    </r>
  </si>
  <si>
    <r>
      <t>63 NH</t>
    </r>
    <r>
      <rPr>
        <vertAlign val="subscript"/>
        <sz val="10"/>
        <rFont val="Arial"/>
        <family val="2"/>
      </rPr>
      <t>2</t>
    </r>
    <r>
      <rPr>
        <vertAlign val="superscript"/>
        <sz val="10"/>
        <rFont val="Arial"/>
        <family val="2"/>
      </rPr>
      <t>-</t>
    </r>
  </si>
  <si>
    <r>
      <t>64 S</t>
    </r>
    <r>
      <rPr>
        <vertAlign val="subscript"/>
        <sz val="10"/>
        <rFont val="Arial"/>
        <family val="0"/>
      </rPr>
      <t>3</t>
    </r>
    <r>
      <rPr>
        <sz val="10"/>
        <rFont val="Arial"/>
        <family val="0"/>
      </rPr>
      <t>N</t>
    </r>
    <r>
      <rPr>
        <vertAlign val="subscript"/>
        <sz val="10"/>
        <rFont val="Arial"/>
        <family val="2"/>
      </rPr>
      <t>2</t>
    </r>
    <r>
      <rPr>
        <vertAlign val="superscript"/>
        <sz val="10"/>
        <rFont val="Arial"/>
        <family val="0"/>
      </rPr>
      <t>+</t>
    </r>
  </si>
  <si>
    <r>
      <t>64 NH</t>
    </r>
    <r>
      <rPr>
        <vertAlign val="subscript"/>
        <sz val="10"/>
        <rFont val="Arial"/>
        <family val="2"/>
      </rPr>
      <t>2</t>
    </r>
    <r>
      <rPr>
        <sz val="10"/>
        <rFont val="Arial"/>
        <family val="0"/>
      </rPr>
      <t>CH</t>
    </r>
    <r>
      <rPr>
        <vertAlign val="subscript"/>
        <sz val="10"/>
        <rFont val="Arial"/>
        <family val="2"/>
      </rPr>
      <t>2</t>
    </r>
    <r>
      <rPr>
        <sz val="10"/>
        <rFont val="Arial"/>
        <family val="0"/>
      </rPr>
      <t>COO</t>
    </r>
    <r>
      <rPr>
        <vertAlign val="superscript"/>
        <sz val="10"/>
        <rFont val="Arial"/>
        <family val="2"/>
      </rPr>
      <t>-</t>
    </r>
  </si>
  <si>
    <r>
      <t>65 S</t>
    </r>
    <r>
      <rPr>
        <vertAlign val="subscript"/>
        <sz val="10"/>
        <rFont val="Arial"/>
        <family val="0"/>
      </rPr>
      <t>3</t>
    </r>
    <r>
      <rPr>
        <sz val="10"/>
        <rFont val="Arial"/>
        <family val="0"/>
      </rPr>
      <t>N</t>
    </r>
    <r>
      <rPr>
        <vertAlign val="subscript"/>
        <sz val="10"/>
        <rFont val="Arial"/>
        <family val="0"/>
      </rPr>
      <t>2</t>
    </r>
    <r>
      <rPr>
        <sz val="10"/>
        <rFont val="Arial"/>
        <family val="0"/>
      </rPr>
      <t>Cl</t>
    </r>
    <r>
      <rPr>
        <vertAlign val="superscript"/>
        <sz val="10"/>
        <rFont val="Arial"/>
        <family val="0"/>
      </rPr>
      <t>+</t>
    </r>
  </si>
  <si>
    <r>
      <t>65 NO</t>
    </r>
    <r>
      <rPr>
        <vertAlign val="subscript"/>
        <sz val="10"/>
        <rFont val="Arial"/>
        <family val="2"/>
      </rPr>
      <t>2</t>
    </r>
    <r>
      <rPr>
        <vertAlign val="superscript"/>
        <sz val="10"/>
        <rFont val="Arial"/>
        <family val="2"/>
      </rPr>
      <t>-</t>
    </r>
  </si>
  <si>
    <r>
      <t>66 S</t>
    </r>
    <r>
      <rPr>
        <vertAlign val="subscript"/>
        <sz val="10"/>
        <rFont val="Arial"/>
        <family val="0"/>
      </rPr>
      <t>4</t>
    </r>
    <r>
      <rPr>
        <sz val="10"/>
        <rFont val="Arial"/>
        <family val="0"/>
      </rPr>
      <t>N</t>
    </r>
    <r>
      <rPr>
        <vertAlign val="subscript"/>
        <sz val="10"/>
        <rFont val="Arial"/>
        <family val="0"/>
      </rPr>
      <t>3</t>
    </r>
    <r>
      <rPr>
        <sz val="10"/>
        <rFont val="Arial"/>
        <family val="0"/>
      </rPr>
      <t>(Ph)</t>
    </r>
    <r>
      <rPr>
        <vertAlign val="subscript"/>
        <sz val="10"/>
        <rFont val="Arial"/>
        <family val="2"/>
      </rPr>
      <t>2</t>
    </r>
    <r>
      <rPr>
        <vertAlign val="superscript"/>
        <sz val="10"/>
        <rFont val="Arial"/>
        <family val="0"/>
      </rPr>
      <t>+</t>
    </r>
  </si>
  <si>
    <r>
      <t>66 NO</t>
    </r>
    <r>
      <rPr>
        <vertAlign val="subscript"/>
        <sz val="10"/>
        <rFont val="Arial"/>
        <family val="2"/>
      </rPr>
      <t>3</t>
    </r>
    <r>
      <rPr>
        <vertAlign val="superscript"/>
        <sz val="10"/>
        <rFont val="Arial"/>
        <family val="2"/>
      </rPr>
      <t>-</t>
    </r>
  </si>
  <si>
    <r>
      <t>67 S</t>
    </r>
    <r>
      <rPr>
        <vertAlign val="subscript"/>
        <sz val="10"/>
        <rFont val="Arial"/>
        <family val="0"/>
      </rPr>
      <t>4</t>
    </r>
    <r>
      <rPr>
        <sz val="10"/>
        <rFont val="Arial"/>
        <family val="0"/>
      </rPr>
      <t>N</t>
    </r>
    <r>
      <rPr>
        <vertAlign val="subscript"/>
        <sz val="10"/>
        <rFont val="Arial"/>
        <family val="2"/>
      </rPr>
      <t>3</t>
    </r>
    <r>
      <rPr>
        <vertAlign val="superscript"/>
        <sz val="10"/>
        <rFont val="Arial"/>
        <family val="0"/>
      </rPr>
      <t>+</t>
    </r>
  </si>
  <si>
    <r>
      <t>67 O</t>
    </r>
    <r>
      <rPr>
        <vertAlign val="subscript"/>
        <sz val="10"/>
        <rFont val="Arial"/>
        <family val="2"/>
      </rPr>
      <t>2</t>
    </r>
    <r>
      <rPr>
        <vertAlign val="superscript"/>
        <sz val="10"/>
        <rFont val="Arial"/>
        <family val="2"/>
      </rPr>
      <t>-</t>
    </r>
  </si>
  <si>
    <r>
      <t>68 S</t>
    </r>
    <r>
      <rPr>
        <vertAlign val="subscript"/>
        <sz val="10"/>
        <rFont val="Arial"/>
        <family val="0"/>
      </rPr>
      <t>4</t>
    </r>
    <r>
      <rPr>
        <sz val="10"/>
        <rFont val="Arial"/>
        <family val="0"/>
      </rPr>
      <t>N</t>
    </r>
    <r>
      <rPr>
        <vertAlign val="subscript"/>
        <sz val="10"/>
        <rFont val="Arial"/>
        <family val="0"/>
      </rPr>
      <t>4</t>
    </r>
    <r>
      <rPr>
        <sz val="10"/>
        <rFont val="Arial"/>
        <family val="0"/>
      </rPr>
      <t>H</t>
    </r>
    <r>
      <rPr>
        <vertAlign val="superscript"/>
        <sz val="10"/>
        <rFont val="Arial"/>
        <family val="0"/>
      </rPr>
      <t>+</t>
    </r>
  </si>
  <si>
    <r>
      <t>68 O</t>
    </r>
    <r>
      <rPr>
        <vertAlign val="subscript"/>
        <sz val="10"/>
        <rFont val="Arial"/>
        <family val="2"/>
      </rPr>
      <t>3</t>
    </r>
    <r>
      <rPr>
        <vertAlign val="superscript"/>
        <sz val="10"/>
        <rFont val="Arial"/>
        <family val="2"/>
      </rPr>
      <t>-</t>
    </r>
  </si>
  <si>
    <r>
      <t>69 S</t>
    </r>
    <r>
      <rPr>
        <vertAlign val="subscript"/>
        <sz val="10"/>
        <rFont val="Arial"/>
        <family val="0"/>
      </rPr>
      <t>5</t>
    </r>
    <r>
      <rPr>
        <sz val="10"/>
        <rFont val="Arial"/>
        <family val="0"/>
      </rPr>
      <t>N</t>
    </r>
    <r>
      <rPr>
        <vertAlign val="subscript"/>
        <sz val="10"/>
        <rFont val="Arial"/>
        <family val="0"/>
      </rPr>
      <t>5</t>
    </r>
    <r>
      <rPr>
        <vertAlign val="superscript"/>
        <sz val="10"/>
        <rFont val="Arial"/>
        <family val="0"/>
      </rPr>
      <t>+</t>
    </r>
  </si>
  <si>
    <r>
      <t>69 OH</t>
    </r>
    <r>
      <rPr>
        <vertAlign val="superscript"/>
        <sz val="10"/>
        <rFont val="Arial"/>
        <family val="2"/>
      </rPr>
      <t>-</t>
    </r>
  </si>
  <si>
    <r>
      <t>70 S</t>
    </r>
    <r>
      <rPr>
        <vertAlign val="subscript"/>
        <sz val="10"/>
        <rFont val="Arial"/>
        <family val="0"/>
      </rPr>
      <t>7</t>
    </r>
    <r>
      <rPr>
        <sz val="10"/>
        <rFont val="Arial"/>
        <family val="0"/>
      </rPr>
      <t>I</t>
    </r>
    <r>
      <rPr>
        <vertAlign val="superscript"/>
        <sz val="10"/>
        <rFont val="Arial"/>
        <family val="0"/>
      </rPr>
      <t>+</t>
    </r>
  </si>
  <si>
    <r>
      <t>70 OsF</t>
    </r>
    <r>
      <rPr>
        <vertAlign val="subscript"/>
        <sz val="10"/>
        <rFont val="Arial"/>
        <family val="2"/>
      </rPr>
      <t>6</t>
    </r>
    <r>
      <rPr>
        <vertAlign val="superscript"/>
        <sz val="10"/>
        <rFont val="Arial"/>
        <family val="2"/>
      </rPr>
      <t>-</t>
    </r>
  </si>
  <si>
    <r>
      <t>71 Sb(NPPh</t>
    </r>
    <r>
      <rPr>
        <vertAlign val="subscript"/>
        <sz val="10"/>
        <rFont val="Arial"/>
        <family val="0"/>
      </rPr>
      <t>3</t>
    </r>
    <r>
      <rPr>
        <sz val="10"/>
        <rFont val="Arial"/>
        <family val="0"/>
      </rPr>
      <t>)</t>
    </r>
    <r>
      <rPr>
        <vertAlign val="subscript"/>
        <sz val="10"/>
        <rFont val="Arial"/>
        <family val="0"/>
      </rPr>
      <t>4</t>
    </r>
    <r>
      <rPr>
        <vertAlign val="superscript"/>
        <sz val="10"/>
        <rFont val="Arial"/>
        <family val="0"/>
      </rPr>
      <t>+</t>
    </r>
  </si>
  <si>
    <r>
      <t>71 OsOF</t>
    </r>
    <r>
      <rPr>
        <vertAlign val="subscript"/>
        <sz val="10"/>
        <rFont val="Arial"/>
        <family val="2"/>
      </rPr>
      <t>5</t>
    </r>
    <r>
      <rPr>
        <vertAlign val="superscript"/>
        <sz val="10"/>
        <rFont val="Arial"/>
        <family val="2"/>
      </rPr>
      <t>-</t>
    </r>
  </si>
  <si>
    <r>
      <t>72 SBr</t>
    </r>
    <r>
      <rPr>
        <vertAlign val="subscript"/>
        <sz val="10"/>
        <rFont val="Arial"/>
        <family val="2"/>
      </rPr>
      <t>3</t>
    </r>
    <r>
      <rPr>
        <vertAlign val="superscript"/>
        <sz val="10"/>
        <rFont val="Arial"/>
        <family val="0"/>
      </rPr>
      <t>+</t>
    </r>
  </si>
  <si>
    <r>
      <t>72 PaF</t>
    </r>
    <r>
      <rPr>
        <vertAlign val="subscript"/>
        <sz val="10"/>
        <rFont val="Arial"/>
        <family val="2"/>
      </rPr>
      <t>6</t>
    </r>
    <r>
      <rPr>
        <vertAlign val="superscript"/>
        <sz val="10"/>
        <rFont val="Arial"/>
        <family val="2"/>
      </rPr>
      <t>-</t>
    </r>
  </si>
  <si>
    <r>
      <t>73 SCH</t>
    </r>
    <r>
      <rPr>
        <vertAlign val="subscript"/>
        <sz val="10"/>
        <rFont val="Arial"/>
        <family val="0"/>
      </rPr>
      <t>3</t>
    </r>
    <r>
      <rPr>
        <sz val="10"/>
        <rFont val="Arial"/>
        <family val="0"/>
      </rPr>
      <t>O</t>
    </r>
    <r>
      <rPr>
        <vertAlign val="subscript"/>
        <sz val="10"/>
        <rFont val="Arial"/>
        <family val="2"/>
      </rPr>
      <t>2</t>
    </r>
    <r>
      <rPr>
        <vertAlign val="superscript"/>
        <sz val="10"/>
        <rFont val="Arial"/>
        <family val="0"/>
      </rPr>
      <t>+</t>
    </r>
  </si>
  <si>
    <r>
      <t>73 PdF</t>
    </r>
    <r>
      <rPr>
        <vertAlign val="subscript"/>
        <sz val="10"/>
        <rFont val="Arial"/>
        <family val="2"/>
      </rPr>
      <t>6</t>
    </r>
    <r>
      <rPr>
        <vertAlign val="superscript"/>
        <sz val="10"/>
        <rFont val="Arial"/>
        <family val="2"/>
      </rPr>
      <t>-</t>
    </r>
  </si>
  <si>
    <r>
      <t>74 SCH</t>
    </r>
    <r>
      <rPr>
        <vertAlign val="subscript"/>
        <sz val="10"/>
        <rFont val="Arial"/>
        <family val="0"/>
      </rPr>
      <t>3</t>
    </r>
    <r>
      <rPr>
        <sz val="10"/>
        <rFont val="Arial"/>
        <family val="0"/>
      </rPr>
      <t>P(CH</t>
    </r>
    <r>
      <rPr>
        <vertAlign val="subscript"/>
        <sz val="10"/>
        <rFont val="Arial"/>
        <family val="0"/>
      </rPr>
      <t>3</t>
    </r>
    <r>
      <rPr>
        <sz val="10"/>
        <rFont val="Arial"/>
        <family val="0"/>
      </rPr>
      <t>)</t>
    </r>
    <r>
      <rPr>
        <vertAlign val="subscript"/>
        <sz val="10"/>
        <rFont val="Arial"/>
        <family val="2"/>
      </rPr>
      <t>3</t>
    </r>
    <r>
      <rPr>
        <vertAlign val="superscript"/>
        <sz val="10"/>
        <rFont val="Arial"/>
        <family val="0"/>
      </rPr>
      <t>+</t>
    </r>
  </si>
  <si>
    <r>
      <t>74 PF</t>
    </r>
    <r>
      <rPr>
        <vertAlign val="subscript"/>
        <sz val="10"/>
        <rFont val="Arial"/>
        <family val="2"/>
      </rPr>
      <t>6</t>
    </r>
    <r>
      <rPr>
        <vertAlign val="superscript"/>
        <sz val="10"/>
        <rFont val="Arial"/>
        <family val="2"/>
      </rPr>
      <t>-</t>
    </r>
  </si>
  <si>
    <r>
      <t>75 SCH</t>
    </r>
    <r>
      <rPr>
        <vertAlign val="subscript"/>
        <sz val="10"/>
        <rFont val="Arial"/>
        <family val="0"/>
      </rPr>
      <t>3</t>
    </r>
    <r>
      <rPr>
        <sz val="10"/>
        <rFont val="Arial"/>
        <family val="0"/>
      </rPr>
      <t>PCH</t>
    </r>
    <r>
      <rPr>
        <vertAlign val="subscript"/>
        <sz val="10"/>
        <rFont val="Arial"/>
        <family val="0"/>
      </rPr>
      <t>3</t>
    </r>
    <r>
      <rPr>
        <sz val="10"/>
        <rFont val="Arial"/>
        <family val="0"/>
      </rPr>
      <t>Cl</t>
    </r>
    <r>
      <rPr>
        <vertAlign val="subscript"/>
        <sz val="10"/>
        <rFont val="Arial"/>
        <family val="2"/>
      </rPr>
      <t>2</t>
    </r>
    <r>
      <rPr>
        <vertAlign val="superscript"/>
        <sz val="10"/>
        <rFont val="Arial"/>
        <family val="0"/>
      </rPr>
      <t>+</t>
    </r>
  </si>
  <si>
    <r>
      <t>75 PO</t>
    </r>
    <r>
      <rPr>
        <vertAlign val="subscript"/>
        <sz val="10"/>
        <rFont val="Arial"/>
        <family val="2"/>
      </rPr>
      <t>3</t>
    </r>
    <r>
      <rPr>
        <vertAlign val="superscript"/>
        <sz val="10"/>
        <rFont val="Arial"/>
        <family val="2"/>
      </rPr>
      <t>-</t>
    </r>
  </si>
  <si>
    <r>
      <t>76 SCl(C</t>
    </r>
    <r>
      <rPr>
        <vertAlign val="subscript"/>
        <sz val="10"/>
        <rFont val="Arial"/>
        <family val="0"/>
      </rPr>
      <t>2</t>
    </r>
    <r>
      <rPr>
        <sz val="10"/>
        <rFont val="Arial"/>
        <family val="0"/>
      </rPr>
      <t>H</t>
    </r>
    <r>
      <rPr>
        <vertAlign val="subscript"/>
        <sz val="10"/>
        <rFont val="Arial"/>
        <family val="0"/>
      </rPr>
      <t>5</t>
    </r>
    <r>
      <rPr>
        <sz val="10"/>
        <rFont val="Arial"/>
        <family val="0"/>
      </rPr>
      <t>)</t>
    </r>
    <r>
      <rPr>
        <vertAlign val="subscript"/>
        <sz val="10"/>
        <rFont val="Arial"/>
        <family val="2"/>
      </rPr>
      <t>2</t>
    </r>
    <r>
      <rPr>
        <vertAlign val="superscript"/>
        <sz val="10"/>
        <rFont val="Arial"/>
        <family val="0"/>
      </rPr>
      <t>+</t>
    </r>
  </si>
  <si>
    <r>
      <t>76 PtF</t>
    </r>
    <r>
      <rPr>
        <vertAlign val="subscript"/>
        <sz val="10"/>
        <rFont val="Arial"/>
        <family val="2"/>
      </rPr>
      <t>6</t>
    </r>
    <r>
      <rPr>
        <vertAlign val="superscript"/>
        <sz val="10"/>
        <rFont val="Arial"/>
        <family val="2"/>
      </rPr>
      <t>-</t>
    </r>
  </si>
  <si>
    <r>
      <t>77 SCl</t>
    </r>
    <r>
      <rPr>
        <vertAlign val="subscript"/>
        <sz val="10"/>
        <rFont val="Arial"/>
        <family val="0"/>
      </rPr>
      <t>2</t>
    </r>
    <r>
      <rPr>
        <sz val="10"/>
        <rFont val="Arial"/>
        <family val="0"/>
      </rPr>
      <t>CF</t>
    </r>
    <r>
      <rPr>
        <vertAlign val="subscript"/>
        <sz val="10"/>
        <rFont val="Arial"/>
        <family val="2"/>
      </rPr>
      <t>3</t>
    </r>
    <r>
      <rPr>
        <vertAlign val="superscript"/>
        <sz val="10"/>
        <rFont val="Arial"/>
        <family val="0"/>
      </rPr>
      <t>+</t>
    </r>
  </si>
  <si>
    <r>
      <t>77 PuF</t>
    </r>
    <r>
      <rPr>
        <vertAlign val="subscript"/>
        <sz val="10"/>
        <rFont val="Arial"/>
        <family val="2"/>
      </rPr>
      <t>5</t>
    </r>
    <r>
      <rPr>
        <vertAlign val="superscript"/>
        <sz val="10"/>
        <rFont val="Arial"/>
        <family val="2"/>
      </rPr>
      <t>-</t>
    </r>
  </si>
  <si>
    <r>
      <t>78 SCl</t>
    </r>
    <r>
      <rPr>
        <vertAlign val="subscript"/>
        <sz val="10"/>
        <rFont val="Arial"/>
        <family val="0"/>
      </rPr>
      <t>2</t>
    </r>
    <r>
      <rPr>
        <sz val="10"/>
        <rFont val="Arial"/>
        <family val="0"/>
      </rPr>
      <t>CH</t>
    </r>
    <r>
      <rPr>
        <vertAlign val="subscript"/>
        <sz val="10"/>
        <rFont val="Arial"/>
        <family val="2"/>
      </rPr>
      <t>3</t>
    </r>
    <r>
      <rPr>
        <vertAlign val="superscript"/>
        <sz val="10"/>
        <rFont val="Arial"/>
        <family val="0"/>
      </rPr>
      <t>+</t>
    </r>
  </si>
  <si>
    <r>
      <t>78 ReF</t>
    </r>
    <r>
      <rPr>
        <vertAlign val="subscript"/>
        <sz val="10"/>
        <rFont val="Arial"/>
        <family val="2"/>
      </rPr>
      <t>6</t>
    </r>
    <r>
      <rPr>
        <vertAlign val="superscript"/>
        <sz val="10"/>
        <rFont val="Arial"/>
        <family val="2"/>
      </rPr>
      <t>-</t>
    </r>
  </si>
  <si>
    <r>
      <t>79 SCl</t>
    </r>
    <r>
      <rPr>
        <vertAlign val="subscript"/>
        <sz val="10"/>
        <rFont val="Arial"/>
        <family val="2"/>
      </rPr>
      <t>3</t>
    </r>
    <r>
      <rPr>
        <vertAlign val="superscript"/>
        <sz val="10"/>
        <rFont val="Arial"/>
        <family val="0"/>
      </rPr>
      <t>+</t>
    </r>
  </si>
  <si>
    <r>
      <t>79 ReOF</t>
    </r>
    <r>
      <rPr>
        <vertAlign val="subscript"/>
        <sz val="10"/>
        <rFont val="Arial"/>
        <family val="2"/>
      </rPr>
      <t>5</t>
    </r>
    <r>
      <rPr>
        <vertAlign val="superscript"/>
        <sz val="10"/>
        <rFont val="Arial"/>
        <family val="2"/>
      </rPr>
      <t>-</t>
    </r>
  </si>
  <si>
    <r>
      <t>80 Se</t>
    </r>
    <r>
      <rPr>
        <vertAlign val="subscript"/>
        <sz val="10"/>
        <rFont val="Arial"/>
        <family val="0"/>
      </rPr>
      <t>3</t>
    </r>
    <r>
      <rPr>
        <sz val="10"/>
        <rFont val="Arial"/>
        <family val="0"/>
      </rPr>
      <t>Br</t>
    </r>
    <r>
      <rPr>
        <vertAlign val="superscript"/>
        <sz val="10"/>
        <rFont val="Arial"/>
        <family val="0"/>
      </rPr>
      <t>3+</t>
    </r>
  </si>
  <si>
    <r>
      <t>80 ReO</t>
    </r>
    <r>
      <rPr>
        <vertAlign val="subscript"/>
        <sz val="10"/>
        <rFont val="Arial"/>
        <family val="0"/>
      </rPr>
      <t>4</t>
    </r>
    <r>
      <rPr>
        <vertAlign val="superscript"/>
        <sz val="10"/>
        <rFont val="Arial"/>
        <family val="0"/>
      </rPr>
      <t>-</t>
    </r>
  </si>
  <si>
    <r>
      <t>81 Se</t>
    </r>
    <r>
      <rPr>
        <vertAlign val="subscript"/>
        <sz val="10"/>
        <rFont val="Arial"/>
        <family val="0"/>
      </rPr>
      <t>3</t>
    </r>
    <r>
      <rPr>
        <sz val="10"/>
        <rFont val="Arial"/>
        <family val="0"/>
      </rPr>
      <t>Cl</t>
    </r>
    <r>
      <rPr>
        <vertAlign val="subscript"/>
        <sz val="10"/>
        <rFont val="Arial"/>
        <family val="2"/>
      </rPr>
      <t>3</t>
    </r>
    <r>
      <rPr>
        <vertAlign val="superscript"/>
        <sz val="10"/>
        <rFont val="Arial"/>
        <family val="0"/>
      </rPr>
      <t>+</t>
    </r>
  </si>
  <si>
    <r>
      <t>81 RuF</t>
    </r>
    <r>
      <rPr>
        <vertAlign val="subscript"/>
        <sz val="10"/>
        <rFont val="Arial"/>
        <family val="0"/>
      </rPr>
      <t>6</t>
    </r>
    <r>
      <rPr>
        <vertAlign val="superscript"/>
        <sz val="10"/>
        <rFont val="Arial"/>
        <family val="0"/>
      </rPr>
      <t>-</t>
    </r>
  </si>
  <si>
    <r>
      <t>82 Se</t>
    </r>
    <r>
      <rPr>
        <vertAlign val="subscript"/>
        <sz val="10"/>
        <rFont val="Arial"/>
        <family val="0"/>
      </rPr>
      <t>3</t>
    </r>
    <r>
      <rPr>
        <sz val="10"/>
        <rFont val="Arial"/>
        <family val="0"/>
      </rPr>
      <t>NCl</t>
    </r>
    <r>
      <rPr>
        <vertAlign val="subscript"/>
        <sz val="10"/>
        <rFont val="Arial"/>
        <family val="2"/>
      </rPr>
      <t>2</t>
    </r>
    <r>
      <rPr>
        <vertAlign val="superscript"/>
        <sz val="10"/>
        <rFont val="Arial"/>
        <family val="0"/>
      </rPr>
      <t>+</t>
    </r>
  </si>
  <si>
    <r>
      <t>82 S</t>
    </r>
    <r>
      <rPr>
        <vertAlign val="subscript"/>
        <sz val="10"/>
        <rFont val="Arial"/>
        <family val="0"/>
      </rPr>
      <t>6</t>
    </r>
    <r>
      <rPr>
        <vertAlign val="superscript"/>
        <sz val="10"/>
        <rFont val="Arial"/>
        <family val="0"/>
      </rPr>
      <t>-</t>
    </r>
  </si>
  <si>
    <r>
      <t>83 Se</t>
    </r>
    <r>
      <rPr>
        <vertAlign val="subscript"/>
        <sz val="10"/>
        <rFont val="Arial"/>
        <family val="0"/>
      </rPr>
      <t>6</t>
    </r>
    <r>
      <rPr>
        <sz val="10"/>
        <rFont val="Arial"/>
        <family val="0"/>
      </rPr>
      <t>I</t>
    </r>
    <r>
      <rPr>
        <vertAlign val="superscript"/>
        <sz val="10"/>
        <rFont val="Arial"/>
        <family val="0"/>
      </rPr>
      <t>+</t>
    </r>
  </si>
  <si>
    <r>
      <t>83 SbCl</t>
    </r>
    <r>
      <rPr>
        <vertAlign val="subscript"/>
        <sz val="10"/>
        <rFont val="Arial"/>
        <family val="0"/>
      </rPr>
      <t>6</t>
    </r>
    <r>
      <rPr>
        <vertAlign val="superscript"/>
        <sz val="10"/>
        <rFont val="Arial"/>
        <family val="0"/>
      </rPr>
      <t>-</t>
    </r>
  </si>
  <si>
    <r>
      <t>84 SeBr</t>
    </r>
    <r>
      <rPr>
        <vertAlign val="subscript"/>
        <sz val="10"/>
        <rFont val="Arial"/>
        <family val="2"/>
      </rPr>
      <t>3</t>
    </r>
    <r>
      <rPr>
        <vertAlign val="superscript"/>
        <sz val="10"/>
        <rFont val="Arial"/>
        <family val="0"/>
      </rPr>
      <t>+</t>
    </r>
  </si>
  <si>
    <r>
      <t>84 SbF</t>
    </r>
    <r>
      <rPr>
        <vertAlign val="subscript"/>
        <sz val="10"/>
        <rFont val="Arial"/>
        <family val="0"/>
      </rPr>
      <t>6</t>
    </r>
    <r>
      <rPr>
        <vertAlign val="superscript"/>
        <sz val="10"/>
        <rFont val="Arial"/>
        <family val="0"/>
      </rPr>
      <t>-</t>
    </r>
  </si>
  <si>
    <r>
      <t>85 SeCl</t>
    </r>
    <r>
      <rPr>
        <vertAlign val="subscript"/>
        <sz val="10"/>
        <rFont val="Arial"/>
        <family val="2"/>
      </rPr>
      <t>3</t>
    </r>
    <r>
      <rPr>
        <vertAlign val="superscript"/>
        <sz val="10"/>
        <rFont val="Arial"/>
        <family val="0"/>
      </rPr>
      <t>+</t>
    </r>
  </si>
  <si>
    <r>
      <t>85 SbO</t>
    </r>
    <r>
      <rPr>
        <vertAlign val="subscript"/>
        <sz val="10"/>
        <rFont val="Arial"/>
        <family val="0"/>
      </rPr>
      <t>3</t>
    </r>
    <r>
      <rPr>
        <vertAlign val="superscript"/>
        <sz val="10"/>
        <rFont val="Arial"/>
        <family val="0"/>
      </rPr>
      <t>-</t>
    </r>
  </si>
  <si>
    <r>
      <t>86 SeCl</t>
    </r>
    <r>
      <rPr>
        <vertAlign val="subscript"/>
        <sz val="10"/>
        <color indexed="10"/>
        <rFont val="Arial"/>
        <family val="0"/>
      </rPr>
      <t>5</t>
    </r>
    <r>
      <rPr>
        <vertAlign val="superscript"/>
        <sz val="10"/>
        <color indexed="10"/>
        <rFont val="Arial"/>
        <family val="0"/>
      </rPr>
      <t>-</t>
    </r>
  </si>
  <si>
    <r>
      <t>86 Sb</t>
    </r>
    <r>
      <rPr>
        <vertAlign val="subscript"/>
        <sz val="10"/>
        <rFont val="Arial"/>
        <family val="0"/>
      </rPr>
      <t>2</t>
    </r>
    <r>
      <rPr>
        <sz val="10"/>
        <rFont val="Arial"/>
        <family val="0"/>
      </rPr>
      <t>F</t>
    </r>
    <r>
      <rPr>
        <vertAlign val="subscript"/>
        <sz val="10"/>
        <rFont val="Arial"/>
        <family val="0"/>
      </rPr>
      <t>1</t>
    </r>
    <r>
      <rPr>
        <vertAlign val="subscript"/>
        <sz val="10"/>
        <rFont val="Arial"/>
        <family val="2"/>
      </rPr>
      <t>1</t>
    </r>
    <r>
      <rPr>
        <vertAlign val="superscript"/>
        <sz val="10"/>
        <rFont val="Arial"/>
        <family val="0"/>
      </rPr>
      <t>-</t>
    </r>
  </si>
  <si>
    <r>
      <t>87 SeF</t>
    </r>
    <r>
      <rPr>
        <vertAlign val="subscript"/>
        <sz val="10"/>
        <rFont val="Arial"/>
        <family val="2"/>
      </rPr>
      <t>3</t>
    </r>
    <r>
      <rPr>
        <vertAlign val="superscript"/>
        <sz val="10"/>
        <rFont val="Arial"/>
        <family val="0"/>
      </rPr>
      <t>+</t>
    </r>
  </si>
  <si>
    <r>
      <t>87 Sb</t>
    </r>
    <r>
      <rPr>
        <vertAlign val="subscript"/>
        <sz val="10"/>
        <rFont val="Arial"/>
        <family val="0"/>
      </rPr>
      <t>3</t>
    </r>
    <r>
      <rPr>
        <sz val="10"/>
        <rFont val="Arial"/>
        <family val="0"/>
      </rPr>
      <t>F</t>
    </r>
    <r>
      <rPr>
        <vertAlign val="subscript"/>
        <sz val="10"/>
        <rFont val="Arial"/>
        <family val="0"/>
      </rPr>
      <t>1</t>
    </r>
    <r>
      <rPr>
        <vertAlign val="subscript"/>
        <sz val="10"/>
        <rFont val="Arial"/>
        <family val="2"/>
      </rPr>
      <t>4</t>
    </r>
    <r>
      <rPr>
        <vertAlign val="superscript"/>
        <sz val="10"/>
        <rFont val="Arial"/>
        <family val="0"/>
      </rPr>
      <t>-</t>
    </r>
  </si>
  <si>
    <r>
      <t>88 SeI</t>
    </r>
    <r>
      <rPr>
        <vertAlign val="subscript"/>
        <sz val="10"/>
        <rFont val="Arial"/>
        <family val="2"/>
      </rPr>
      <t>3</t>
    </r>
    <r>
      <rPr>
        <vertAlign val="superscript"/>
        <sz val="10"/>
        <rFont val="Arial"/>
        <family val="0"/>
      </rPr>
      <t>+</t>
    </r>
  </si>
  <si>
    <r>
      <t>88 SeCN</t>
    </r>
    <r>
      <rPr>
        <vertAlign val="superscript"/>
        <sz val="10"/>
        <rFont val="Arial"/>
        <family val="0"/>
      </rPr>
      <t>-</t>
    </r>
  </si>
  <si>
    <r>
      <t>89 SeN</t>
    </r>
    <r>
      <rPr>
        <vertAlign val="subscript"/>
        <sz val="10"/>
        <rFont val="Arial"/>
        <family val="0"/>
      </rPr>
      <t>2</t>
    </r>
    <r>
      <rPr>
        <sz val="10"/>
        <rFont val="Arial"/>
        <family val="0"/>
      </rPr>
      <t>Cl</t>
    </r>
    <r>
      <rPr>
        <vertAlign val="superscript"/>
        <sz val="10"/>
        <rFont val="Arial"/>
        <family val="0"/>
      </rPr>
      <t>+</t>
    </r>
  </si>
  <si>
    <r>
      <t>89 SeH</t>
    </r>
    <r>
      <rPr>
        <vertAlign val="superscript"/>
        <sz val="10"/>
        <rFont val="Arial"/>
        <family val="0"/>
      </rPr>
      <t>-</t>
    </r>
  </si>
  <si>
    <r>
      <t>90 SeNCl</t>
    </r>
    <r>
      <rPr>
        <vertAlign val="subscript"/>
        <sz val="10"/>
        <rFont val="Arial"/>
        <family val="2"/>
      </rPr>
      <t>2</t>
    </r>
    <r>
      <rPr>
        <vertAlign val="superscript"/>
        <sz val="10"/>
        <rFont val="Arial"/>
        <family val="0"/>
      </rPr>
      <t>+</t>
    </r>
  </si>
  <si>
    <r>
      <t>90 SH</t>
    </r>
    <r>
      <rPr>
        <vertAlign val="superscript"/>
        <sz val="10"/>
        <rFont val="Arial"/>
        <family val="0"/>
      </rPr>
      <t>-</t>
    </r>
  </si>
  <si>
    <r>
      <t>91 SF(C</t>
    </r>
    <r>
      <rPr>
        <vertAlign val="subscript"/>
        <sz val="10"/>
        <rFont val="Arial"/>
        <family val="0"/>
      </rPr>
      <t>6</t>
    </r>
    <r>
      <rPr>
        <sz val="10"/>
        <rFont val="Arial"/>
        <family val="0"/>
      </rPr>
      <t>F</t>
    </r>
    <r>
      <rPr>
        <vertAlign val="subscript"/>
        <sz val="10"/>
        <rFont val="Arial"/>
        <family val="0"/>
      </rPr>
      <t>5</t>
    </r>
    <r>
      <rPr>
        <sz val="10"/>
        <rFont val="Arial"/>
        <family val="0"/>
      </rPr>
      <t>)</t>
    </r>
    <r>
      <rPr>
        <vertAlign val="subscript"/>
        <sz val="10"/>
        <rFont val="Arial"/>
        <family val="2"/>
      </rPr>
      <t>2</t>
    </r>
    <r>
      <rPr>
        <vertAlign val="superscript"/>
        <sz val="10"/>
        <rFont val="Arial"/>
        <family val="0"/>
      </rPr>
      <t>+</t>
    </r>
  </si>
  <si>
    <r>
      <t>91 SO</t>
    </r>
    <r>
      <rPr>
        <vertAlign val="subscript"/>
        <sz val="10"/>
        <rFont val="Arial"/>
        <family val="0"/>
      </rPr>
      <t>3</t>
    </r>
    <r>
      <rPr>
        <sz val="10"/>
        <rFont val="Arial"/>
        <family val="0"/>
      </rPr>
      <t>F</t>
    </r>
    <r>
      <rPr>
        <vertAlign val="superscript"/>
        <sz val="10"/>
        <rFont val="Arial"/>
        <family val="0"/>
      </rPr>
      <t>-</t>
    </r>
  </si>
  <si>
    <r>
      <t>92 SF</t>
    </r>
    <r>
      <rPr>
        <vertAlign val="subscript"/>
        <sz val="10"/>
        <rFont val="Arial"/>
        <family val="0"/>
      </rPr>
      <t>2</t>
    </r>
    <r>
      <rPr>
        <sz val="10"/>
        <rFont val="Arial"/>
        <family val="0"/>
      </rPr>
      <t>CF</t>
    </r>
    <r>
      <rPr>
        <vertAlign val="subscript"/>
        <sz val="10"/>
        <rFont val="Arial"/>
        <family val="2"/>
      </rPr>
      <t>3</t>
    </r>
    <r>
      <rPr>
        <vertAlign val="superscript"/>
        <sz val="10"/>
        <rFont val="Arial"/>
        <family val="0"/>
      </rPr>
      <t>+</t>
    </r>
  </si>
  <si>
    <r>
      <t>92 SNCl</t>
    </r>
    <r>
      <rPr>
        <vertAlign val="subscript"/>
        <sz val="10"/>
        <rFont val="Arial"/>
        <family val="0"/>
      </rPr>
      <t>5</t>
    </r>
    <r>
      <rPr>
        <sz val="10"/>
        <rFont val="Arial"/>
        <family val="0"/>
      </rPr>
      <t>(CH</t>
    </r>
    <r>
      <rPr>
        <vertAlign val="subscript"/>
        <sz val="10"/>
        <rFont val="Arial"/>
        <family val="0"/>
      </rPr>
      <t>3</t>
    </r>
    <r>
      <rPr>
        <sz val="10"/>
        <rFont val="Arial"/>
        <family val="0"/>
      </rPr>
      <t>CN)</t>
    </r>
    <r>
      <rPr>
        <vertAlign val="superscript"/>
        <sz val="10"/>
        <rFont val="Arial"/>
        <family val="0"/>
      </rPr>
      <t>-</t>
    </r>
  </si>
  <si>
    <r>
      <t>93 SF</t>
    </r>
    <r>
      <rPr>
        <vertAlign val="subscript"/>
        <sz val="10"/>
        <rFont val="Arial"/>
        <family val="0"/>
      </rPr>
      <t>2</t>
    </r>
    <r>
      <rPr>
        <sz val="10"/>
        <rFont val="Arial"/>
        <family val="0"/>
      </rPr>
      <t>N(CH</t>
    </r>
    <r>
      <rPr>
        <vertAlign val="subscript"/>
        <sz val="10"/>
        <rFont val="Arial"/>
        <family val="0"/>
      </rPr>
      <t>3</t>
    </r>
    <r>
      <rPr>
        <sz val="10"/>
        <rFont val="Arial"/>
        <family val="0"/>
      </rPr>
      <t>)</t>
    </r>
    <r>
      <rPr>
        <vertAlign val="subscript"/>
        <sz val="10"/>
        <rFont val="Arial"/>
        <family val="2"/>
      </rPr>
      <t>2</t>
    </r>
    <r>
      <rPr>
        <vertAlign val="superscript"/>
        <sz val="10"/>
        <rFont val="Arial"/>
        <family val="0"/>
      </rPr>
      <t>+</t>
    </r>
  </si>
  <si>
    <r>
      <t>93 S</t>
    </r>
    <r>
      <rPr>
        <vertAlign val="subscript"/>
        <sz val="10"/>
        <rFont val="Arial"/>
        <family val="0"/>
      </rPr>
      <t>3</t>
    </r>
    <r>
      <rPr>
        <sz val="10"/>
        <rFont val="Arial"/>
        <family val="0"/>
      </rPr>
      <t>N</t>
    </r>
    <r>
      <rPr>
        <vertAlign val="subscript"/>
        <sz val="10"/>
        <rFont val="Arial"/>
        <family val="2"/>
      </rPr>
      <t>3</t>
    </r>
    <r>
      <rPr>
        <vertAlign val="superscript"/>
        <sz val="10"/>
        <rFont val="Arial"/>
        <family val="0"/>
      </rPr>
      <t>-</t>
    </r>
  </si>
  <si>
    <r>
      <t>94 SF</t>
    </r>
    <r>
      <rPr>
        <vertAlign val="subscript"/>
        <sz val="10"/>
        <rFont val="Arial"/>
        <family val="2"/>
      </rPr>
      <t>3</t>
    </r>
    <r>
      <rPr>
        <vertAlign val="superscript"/>
        <sz val="10"/>
        <rFont val="Arial"/>
        <family val="0"/>
      </rPr>
      <t>+</t>
    </r>
  </si>
  <si>
    <r>
      <t>94 S</t>
    </r>
    <r>
      <rPr>
        <vertAlign val="subscript"/>
        <sz val="10"/>
        <rFont val="Arial"/>
        <family val="0"/>
      </rPr>
      <t>3</t>
    </r>
    <r>
      <rPr>
        <sz val="10"/>
        <rFont val="Arial"/>
        <family val="0"/>
      </rPr>
      <t>N</t>
    </r>
    <r>
      <rPr>
        <vertAlign val="subscript"/>
        <sz val="10"/>
        <rFont val="Arial"/>
        <family val="0"/>
      </rPr>
      <t>3</t>
    </r>
    <r>
      <rPr>
        <sz val="10"/>
        <rFont val="Arial"/>
        <family val="0"/>
      </rPr>
      <t>O</t>
    </r>
    <r>
      <rPr>
        <vertAlign val="subscript"/>
        <sz val="10"/>
        <rFont val="Arial"/>
        <family val="0"/>
      </rPr>
      <t>4</t>
    </r>
    <r>
      <rPr>
        <vertAlign val="superscript"/>
        <sz val="10"/>
        <rFont val="Arial"/>
        <family val="0"/>
      </rPr>
      <t>-</t>
    </r>
  </si>
  <si>
    <r>
      <t>95 SFS(C(CF</t>
    </r>
    <r>
      <rPr>
        <vertAlign val="subscript"/>
        <sz val="10"/>
        <rFont val="Arial"/>
        <family val="0"/>
      </rPr>
      <t>3</t>
    </r>
    <r>
      <rPr>
        <sz val="10"/>
        <rFont val="Arial"/>
        <family val="0"/>
      </rPr>
      <t>)</t>
    </r>
    <r>
      <rPr>
        <vertAlign val="subscript"/>
        <sz val="10"/>
        <rFont val="Arial"/>
        <family val="0"/>
      </rPr>
      <t>2</t>
    </r>
    <r>
      <rPr>
        <sz val="10"/>
        <rFont val="Arial"/>
        <family val="0"/>
      </rPr>
      <t>)</t>
    </r>
    <r>
      <rPr>
        <vertAlign val="superscript"/>
        <sz val="10"/>
        <rFont val="Arial"/>
        <family val="0"/>
      </rPr>
      <t>2+</t>
    </r>
  </si>
  <si>
    <r>
      <t>95 TaBr</t>
    </r>
    <r>
      <rPr>
        <vertAlign val="subscript"/>
        <sz val="10"/>
        <rFont val="Arial"/>
        <family val="0"/>
      </rPr>
      <t>6</t>
    </r>
    <r>
      <rPr>
        <vertAlign val="superscript"/>
        <sz val="10"/>
        <rFont val="Arial"/>
        <family val="0"/>
      </rPr>
      <t>-</t>
    </r>
  </si>
  <si>
    <r>
      <t>96 SH</t>
    </r>
    <r>
      <rPr>
        <vertAlign val="subscript"/>
        <sz val="10"/>
        <rFont val="Arial"/>
        <family val="0"/>
      </rPr>
      <t>2</t>
    </r>
    <r>
      <rPr>
        <sz val="10"/>
        <rFont val="Arial"/>
        <family val="0"/>
      </rPr>
      <t>C</t>
    </r>
    <r>
      <rPr>
        <vertAlign val="subscript"/>
        <sz val="10"/>
        <rFont val="Arial"/>
        <family val="0"/>
      </rPr>
      <t>3</t>
    </r>
    <r>
      <rPr>
        <sz val="10"/>
        <rFont val="Arial"/>
        <family val="0"/>
      </rPr>
      <t>H</t>
    </r>
    <r>
      <rPr>
        <vertAlign val="subscript"/>
        <sz val="10"/>
        <rFont val="Arial"/>
        <family val="0"/>
      </rPr>
      <t>7</t>
    </r>
    <r>
      <rPr>
        <vertAlign val="superscript"/>
        <sz val="10"/>
        <rFont val="Arial"/>
        <family val="0"/>
      </rPr>
      <t>+</t>
    </r>
  </si>
  <si>
    <r>
      <t>96 TaCl</t>
    </r>
    <r>
      <rPr>
        <vertAlign val="subscript"/>
        <sz val="10"/>
        <rFont val="Arial"/>
        <family val="0"/>
      </rPr>
      <t>6</t>
    </r>
    <r>
      <rPr>
        <vertAlign val="superscript"/>
        <sz val="10"/>
        <rFont val="Arial"/>
        <family val="0"/>
      </rPr>
      <t>-</t>
    </r>
  </si>
  <si>
    <r>
      <t>97 SN</t>
    </r>
    <r>
      <rPr>
        <vertAlign val="superscript"/>
        <sz val="10"/>
        <rFont val="Arial"/>
        <family val="0"/>
      </rPr>
      <t>+</t>
    </r>
  </si>
  <si>
    <r>
      <t>97 TaF</t>
    </r>
    <r>
      <rPr>
        <vertAlign val="subscript"/>
        <sz val="10"/>
        <rFont val="Arial"/>
        <family val="0"/>
      </rPr>
      <t>6</t>
    </r>
    <r>
      <rPr>
        <vertAlign val="superscript"/>
        <sz val="10"/>
        <rFont val="Arial"/>
        <family val="0"/>
      </rPr>
      <t>-</t>
    </r>
  </si>
  <si>
    <r>
      <t>98 SNSC(CH</t>
    </r>
    <r>
      <rPr>
        <vertAlign val="subscript"/>
        <sz val="10"/>
        <rFont val="Arial"/>
        <family val="0"/>
      </rPr>
      <t>3</t>
    </r>
    <r>
      <rPr>
        <sz val="10"/>
        <rFont val="Arial"/>
        <family val="0"/>
      </rPr>
      <t>)N</t>
    </r>
    <r>
      <rPr>
        <vertAlign val="superscript"/>
        <sz val="10"/>
        <rFont val="Arial"/>
        <family val="0"/>
      </rPr>
      <t>+</t>
    </r>
  </si>
  <si>
    <r>
      <t>98 TaO</t>
    </r>
    <r>
      <rPr>
        <vertAlign val="subscript"/>
        <sz val="10"/>
        <rFont val="Arial"/>
        <family val="0"/>
      </rPr>
      <t>3</t>
    </r>
    <r>
      <rPr>
        <vertAlign val="superscript"/>
        <sz val="10"/>
        <rFont val="Arial"/>
        <family val="0"/>
      </rPr>
      <t>-</t>
    </r>
  </si>
  <si>
    <r>
      <t>99 SNSC(CN)CH</t>
    </r>
    <r>
      <rPr>
        <vertAlign val="superscript"/>
        <sz val="10"/>
        <rFont val="Arial"/>
        <family val="0"/>
      </rPr>
      <t>+</t>
    </r>
  </si>
  <si>
    <r>
      <t>99 UF</t>
    </r>
    <r>
      <rPr>
        <vertAlign val="subscript"/>
        <sz val="10"/>
        <rFont val="Arial"/>
        <family val="0"/>
      </rPr>
      <t>6</t>
    </r>
    <r>
      <rPr>
        <vertAlign val="superscript"/>
        <sz val="10"/>
        <rFont val="Arial"/>
        <family val="0"/>
      </rPr>
      <t>-</t>
    </r>
  </si>
  <si>
    <r>
      <t>100 SNSC(Ph)N</t>
    </r>
    <r>
      <rPr>
        <vertAlign val="superscript"/>
        <sz val="10"/>
        <rFont val="Arial"/>
        <family val="0"/>
      </rPr>
      <t>+</t>
    </r>
  </si>
  <si>
    <r>
      <t>100 VF</t>
    </r>
    <r>
      <rPr>
        <vertAlign val="subscript"/>
        <sz val="10"/>
        <rFont val="Arial"/>
        <family val="0"/>
      </rPr>
      <t>6</t>
    </r>
    <r>
      <rPr>
        <vertAlign val="superscript"/>
        <sz val="10"/>
        <rFont val="Arial"/>
        <family val="0"/>
      </rPr>
      <t>-</t>
    </r>
  </si>
  <si>
    <r>
      <t>101 SNSC(Ph)NS</t>
    </r>
    <r>
      <rPr>
        <vertAlign val="subscript"/>
        <sz val="10"/>
        <rFont val="Arial"/>
        <family val="0"/>
      </rPr>
      <t>3</t>
    </r>
    <r>
      <rPr>
        <sz val="10"/>
        <rFont val="Arial"/>
        <family val="0"/>
      </rPr>
      <t>N</t>
    </r>
    <r>
      <rPr>
        <vertAlign val="subscript"/>
        <sz val="10"/>
        <rFont val="Arial"/>
        <family val="2"/>
      </rPr>
      <t>2</t>
    </r>
    <r>
      <rPr>
        <vertAlign val="superscript"/>
        <sz val="10"/>
        <rFont val="Arial"/>
        <family val="0"/>
      </rPr>
      <t>+</t>
    </r>
  </si>
  <si>
    <r>
      <t>101 VO</t>
    </r>
    <r>
      <rPr>
        <vertAlign val="subscript"/>
        <sz val="10"/>
        <rFont val="Arial"/>
        <family val="0"/>
      </rPr>
      <t>3</t>
    </r>
    <r>
      <rPr>
        <vertAlign val="superscript"/>
        <sz val="10"/>
        <rFont val="Arial"/>
        <family val="0"/>
      </rPr>
      <t>-</t>
    </r>
  </si>
  <si>
    <r>
      <t>102 SNSC(PhCH</t>
    </r>
    <r>
      <rPr>
        <vertAlign val="subscript"/>
        <sz val="10"/>
        <rFont val="Arial"/>
        <family val="0"/>
      </rPr>
      <t>3</t>
    </r>
    <r>
      <rPr>
        <sz val="10"/>
        <rFont val="Arial"/>
        <family val="0"/>
      </rPr>
      <t>)N</t>
    </r>
    <r>
      <rPr>
        <vertAlign val="superscript"/>
        <sz val="10"/>
        <rFont val="Arial"/>
        <family val="0"/>
      </rPr>
      <t>+</t>
    </r>
  </si>
  <si>
    <r>
      <t>102 WCl</t>
    </r>
    <r>
      <rPr>
        <vertAlign val="subscript"/>
        <sz val="10"/>
        <rFont val="Arial"/>
        <family val="0"/>
      </rPr>
      <t>6</t>
    </r>
    <r>
      <rPr>
        <vertAlign val="superscript"/>
        <sz val="10"/>
        <rFont val="Arial"/>
        <family val="0"/>
      </rPr>
      <t>-</t>
    </r>
  </si>
  <si>
    <r>
      <t>103 Te(N</t>
    </r>
    <r>
      <rPr>
        <vertAlign val="subscript"/>
        <sz val="10"/>
        <rFont val="Arial"/>
        <family val="0"/>
      </rPr>
      <t>3</t>
    </r>
    <r>
      <rPr>
        <sz val="10"/>
        <rFont val="Arial"/>
        <family val="0"/>
      </rPr>
      <t>)</t>
    </r>
    <r>
      <rPr>
        <vertAlign val="subscript"/>
        <sz val="10"/>
        <rFont val="Arial"/>
        <family val="2"/>
      </rPr>
      <t>3</t>
    </r>
    <r>
      <rPr>
        <vertAlign val="superscript"/>
        <sz val="10"/>
        <rFont val="Arial"/>
        <family val="0"/>
      </rPr>
      <t>+</t>
    </r>
  </si>
  <si>
    <r>
      <t>103 WF</t>
    </r>
    <r>
      <rPr>
        <vertAlign val="subscript"/>
        <sz val="10"/>
        <rFont val="Arial"/>
        <family val="0"/>
      </rPr>
      <t>6</t>
    </r>
    <r>
      <rPr>
        <vertAlign val="superscript"/>
        <sz val="10"/>
        <rFont val="Arial"/>
        <family val="0"/>
      </rPr>
      <t>-</t>
    </r>
  </si>
  <si>
    <r>
      <t>104 Te</t>
    </r>
    <r>
      <rPr>
        <vertAlign val="subscript"/>
        <sz val="10"/>
        <rFont val="Arial"/>
        <family val="0"/>
      </rPr>
      <t>4</t>
    </r>
    <r>
      <rPr>
        <sz val="10"/>
        <rFont val="Arial"/>
        <family val="0"/>
      </rPr>
      <t>Nb</t>
    </r>
    <r>
      <rPr>
        <vertAlign val="subscript"/>
        <sz val="10"/>
        <rFont val="Arial"/>
        <family val="0"/>
      </rPr>
      <t>3</t>
    </r>
    <r>
      <rPr>
        <sz val="10"/>
        <rFont val="Arial"/>
        <family val="0"/>
      </rPr>
      <t>OTe</t>
    </r>
    <r>
      <rPr>
        <vertAlign val="subscript"/>
        <sz val="10"/>
        <rFont val="Arial"/>
        <family val="0"/>
      </rPr>
      <t>2</t>
    </r>
    <r>
      <rPr>
        <sz val="10"/>
        <rFont val="Arial"/>
        <family val="0"/>
      </rPr>
      <t>I</t>
    </r>
    <r>
      <rPr>
        <vertAlign val="subscript"/>
        <sz val="10"/>
        <rFont val="Arial"/>
        <family val="0"/>
      </rPr>
      <t>6</t>
    </r>
    <r>
      <rPr>
        <vertAlign val="superscript"/>
        <sz val="10"/>
        <rFont val="Arial"/>
        <family val="0"/>
      </rPr>
      <t>+</t>
    </r>
  </si>
  <si>
    <r>
      <t>104 WOF</t>
    </r>
    <r>
      <rPr>
        <vertAlign val="subscript"/>
        <sz val="10"/>
        <rFont val="Arial"/>
        <family val="0"/>
      </rPr>
      <t>5</t>
    </r>
    <r>
      <rPr>
        <vertAlign val="superscript"/>
        <sz val="10"/>
        <rFont val="Arial"/>
        <family val="0"/>
      </rPr>
      <t>-</t>
    </r>
  </si>
  <si>
    <r>
      <t>105 TeBr</t>
    </r>
    <r>
      <rPr>
        <vertAlign val="subscript"/>
        <sz val="10"/>
        <rFont val="Arial"/>
        <family val="2"/>
      </rPr>
      <t>3</t>
    </r>
    <r>
      <rPr>
        <vertAlign val="superscript"/>
        <sz val="10"/>
        <rFont val="Arial"/>
        <family val="0"/>
      </rPr>
      <t>+</t>
    </r>
  </si>
  <si>
    <r>
      <t>105 AmF</t>
    </r>
    <r>
      <rPr>
        <vertAlign val="subscript"/>
        <sz val="10"/>
        <rFont val="Arial"/>
        <family val="0"/>
      </rPr>
      <t>6</t>
    </r>
    <r>
      <rPr>
        <vertAlign val="superscript"/>
        <sz val="10"/>
        <rFont val="Arial"/>
        <family val="0"/>
      </rPr>
      <t>2-</t>
    </r>
  </si>
  <si>
    <r>
      <t>106 TeCl</t>
    </r>
    <r>
      <rPr>
        <vertAlign val="subscript"/>
        <sz val="10"/>
        <rFont val="Arial"/>
        <family val="0"/>
      </rPr>
      <t>3</t>
    </r>
    <r>
      <rPr>
        <sz val="10"/>
        <rFont val="Arial"/>
        <family val="0"/>
      </rPr>
      <t>(1</t>
    </r>
    <r>
      <rPr>
        <sz val="10"/>
        <rFont val="Arial"/>
        <family val="2"/>
      </rPr>
      <t>5-</t>
    </r>
    <r>
      <rPr>
        <sz val="10"/>
        <rFont val="Arial"/>
        <family val="0"/>
      </rPr>
      <t>crown</t>
    </r>
    <r>
      <rPr>
        <sz val="10"/>
        <rFont val="Arial"/>
        <family val="2"/>
      </rPr>
      <t>-5</t>
    </r>
    <r>
      <rPr>
        <sz val="10"/>
        <rFont val="Arial"/>
        <family val="0"/>
      </rPr>
      <t>)</t>
    </r>
    <r>
      <rPr>
        <vertAlign val="superscript"/>
        <sz val="10"/>
        <rFont val="Arial"/>
        <family val="0"/>
      </rPr>
      <t>+</t>
    </r>
  </si>
  <si>
    <r>
      <t>106 Bi</t>
    </r>
    <r>
      <rPr>
        <vertAlign val="subscript"/>
        <sz val="10"/>
        <rFont val="Arial"/>
        <family val="0"/>
      </rPr>
      <t>2</t>
    </r>
    <r>
      <rPr>
        <sz val="10"/>
        <rFont val="Arial"/>
        <family val="0"/>
      </rPr>
      <t>Br</t>
    </r>
    <r>
      <rPr>
        <vertAlign val="subscript"/>
        <sz val="10"/>
        <rFont val="Arial"/>
        <family val="0"/>
      </rPr>
      <t>8</t>
    </r>
    <r>
      <rPr>
        <vertAlign val="superscript"/>
        <sz val="10"/>
        <rFont val="Arial"/>
        <family val="0"/>
      </rPr>
      <t>2-</t>
    </r>
  </si>
  <si>
    <r>
      <t>107 TeCl</t>
    </r>
    <r>
      <rPr>
        <vertAlign val="subscript"/>
        <sz val="10"/>
        <rFont val="Arial"/>
        <family val="2"/>
      </rPr>
      <t>3</t>
    </r>
    <r>
      <rPr>
        <vertAlign val="superscript"/>
        <sz val="10"/>
        <rFont val="Arial"/>
        <family val="0"/>
      </rPr>
      <t>+</t>
    </r>
  </si>
  <si>
    <r>
      <t>107 Bi</t>
    </r>
    <r>
      <rPr>
        <vertAlign val="subscript"/>
        <sz val="10"/>
        <rFont val="Arial"/>
        <family val="0"/>
      </rPr>
      <t>6</t>
    </r>
    <r>
      <rPr>
        <sz val="10"/>
        <rFont val="Arial"/>
        <family val="0"/>
      </rPr>
      <t>Cl</t>
    </r>
    <r>
      <rPr>
        <vertAlign val="subscript"/>
        <sz val="10"/>
        <rFont val="Arial"/>
        <family val="0"/>
      </rPr>
      <t>20</t>
    </r>
    <r>
      <rPr>
        <vertAlign val="superscript"/>
        <sz val="10"/>
        <rFont val="Arial"/>
        <family val="0"/>
      </rPr>
      <t>2-</t>
    </r>
  </si>
  <si>
    <r>
      <t>108 TeI</t>
    </r>
    <r>
      <rPr>
        <vertAlign val="subscript"/>
        <sz val="10"/>
        <rFont val="Arial"/>
        <family val="2"/>
      </rPr>
      <t>3</t>
    </r>
    <r>
      <rPr>
        <vertAlign val="superscript"/>
        <sz val="10"/>
        <rFont val="Arial"/>
        <family val="0"/>
      </rPr>
      <t>+</t>
    </r>
  </si>
  <si>
    <r>
      <t>108 CeCl</t>
    </r>
    <r>
      <rPr>
        <vertAlign val="subscript"/>
        <sz val="10"/>
        <rFont val="Arial"/>
        <family val="0"/>
      </rPr>
      <t>6</t>
    </r>
    <r>
      <rPr>
        <vertAlign val="superscript"/>
        <sz val="10"/>
        <rFont val="Arial"/>
        <family val="0"/>
      </rPr>
      <t>2-</t>
    </r>
  </si>
  <si>
    <r>
      <t>109 Xe</t>
    </r>
    <r>
      <rPr>
        <vertAlign val="subscript"/>
        <sz val="10"/>
        <rFont val="Arial"/>
        <family val="0"/>
      </rPr>
      <t>2</t>
    </r>
    <r>
      <rPr>
        <sz val="10"/>
        <rFont val="Arial"/>
        <family val="0"/>
      </rPr>
      <t>F</t>
    </r>
    <r>
      <rPr>
        <vertAlign val="subscript"/>
        <sz val="10"/>
        <rFont val="Arial"/>
        <family val="0"/>
      </rPr>
      <t>1</t>
    </r>
    <r>
      <rPr>
        <vertAlign val="subscript"/>
        <sz val="10"/>
        <rFont val="Arial"/>
        <family val="2"/>
      </rPr>
      <t>1</t>
    </r>
    <r>
      <rPr>
        <vertAlign val="superscript"/>
        <sz val="10"/>
        <rFont val="Arial"/>
        <family val="0"/>
      </rPr>
      <t>+</t>
    </r>
  </si>
  <si>
    <r>
      <t>109 CeF</t>
    </r>
    <r>
      <rPr>
        <vertAlign val="subscript"/>
        <sz val="10"/>
        <rFont val="Arial"/>
        <family val="0"/>
      </rPr>
      <t>6</t>
    </r>
    <r>
      <rPr>
        <vertAlign val="superscript"/>
        <sz val="10"/>
        <rFont val="Arial"/>
        <family val="0"/>
      </rPr>
      <t>2-</t>
    </r>
  </si>
  <si>
    <r>
      <t>110 Xe</t>
    </r>
    <r>
      <rPr>
        <vertAlign val="subscript"/>
        <sz val="10"/>
        <rFont val="Arial"/>
        <family val="0"/>
      </rPr>
      <t>2</t>
    </r>
    <r>
      <rPr>
        <sz val="10"/>
        <rFont val="Arial"/>
        <family val="0"/>
      </rPr>
      <t>F</t>
    </r>
    <r>
      <rPr>
        <vertAlign val="subscript"/>
        <sz val="10"/>
        <rFont val="Arial"/>
        <family val="2"/>
      </rPr>
      <t>3</t>
    </r>
    <r>
      <rPr>
        <vertAlign val="superscript"/>
        <sz val="10"/>
        <rFont val="Arial"/>
        <family val="0"/>
      </rPr>
      <t>+</t>
    </r>
  </si>
  <si>
    <r>
      <t>110 CO</t>
    </r>
    <r>
      <rPr>
        <vertAlign val="subscript"/>
        <sz val="10"/>
        <rFont val="Arial"/>
        <family val="0"/>
      </rPr>
      <t>3</t>
    </r>
    <r>
      <rPr>
        <vertAlign val="superscript"/>
        <sz val="10"/>
        <rFont val="Arial"/>
        <family val="0"/>
      </rPr>
      <t>2-</t>
    </r>
  </si>
  <si>
    <r>
      <t>111 XeF</t>
    </r>
    <r>
      <rPr>
        <vertAlign val="superscript"/>
        <sz val="10"/>
        <rFont val="Arial"/>
        <family val="0"/>
      </rPr>
      <t>+</t>
    </r>
  </si>
  <si>
    <r>
      <t>111 CoCl</t>
    </r>
    <r>
      <rPr>
        <vertAlign val="subscript"/>
        <sz val="10"/>
        <rFont val="Arial"/>
        <family val="0"/>
      </rPr>
      <t>4</t>
    </r>
    <r>
      <rPr>
        <vertAlign val="superscript"/>
        <sz val="10"/>
        <rFont val="Arial"/>
        <family val="0"/>
      </rPr>
      <t>2-</t>
    </r>
  </si>
  <si>
    <r>
      <t>112 XeF</t>
    </r>
    <r>
      <rPr>
        <vertAlign val="subscript"/>
        <sz val="10"/>
        <rFont val="Arial"/>
        <family val="2"/>
      </rPr>
      <t>3</t>
    </r>
    <r>
      <rPr>
        <vertAlign val="superscript"/>
        <sz val="10"/>
        <rFont val="Arial"/>
        <family val="0"/>
      </rPr>
      <t>+</t>
    </r>
  </si>
  <si>
    <r>
      <t>112 CoF</t>
    </r>
    <r>
      <rPr>
        <vertAlign val="subscript"/>
        <sz val="10"/>
        <rFont val="Arial"/>
        <family val="0"/>
      </rPr>
      <t>4</t>
    </r>
    <r>
      <rPr>
        <vertAlign val="superscript"/>
        <sz val="10"/>
        <rFont val="Arial"/>
        <family val="0"/>
      </rPr>
      <t>2-</t>
    </r>
  </si>
  <si>
    <r>
      <t>113 XeF</t>
    </r>
    <r>
      <rPr>
        <vertAlign val="subscript"/>
        <sz val="10"/>
        <rFont val="Arial"/>
        <family val="0"/>
      </rPr>
      <t>5</t>
    </r>
    <r>
      <rPr>
        <vertAlign val="superscript"/>
        <sz val="10"/>
        <rFont val="Arial"/>
        <family val="0"/>
      </rPr>
      <t>+</t>
    </r>
  </si>
  <si>
    <r>
      <t>113 CoF</t>
    </r>
    <r>
      <rPr>
        <vertAlign val="subscript"/>
        <sz val="10"/>
        <rFont val="Arial"/>
        <family val="0"/>
      </rPr>
      <t>6</t>
    </r>
    <r>
      <rPr>
        <vertAlign val="superscript"/>
        <sz val="10"/>
        <rFont val="Arial"/>
        <family val="0"/>
      </rPr>
      <t>2-</t>
    </r>
  </si>
  <si>
    <r>
      <t>114 XeOF</t>
    </r>
    <r>
      <rPr>
        <vertAlign val="subscript"/>
        <sz val="10"/>
        <rFont val="Arial"/>
        <family val="2"/>
      </rPr>
      <t>3</t>
    </r>
    <r>
      <rPr>
        <vertAlign val="superscript"/>
        <sz val="10"/>
        <rFont val="Arial"/>
        <family val="0"/>
      </rPr>
      <t>+</t>
    </r>
  </si>
  <si>
    <r>
      <t>114 Cr</t>
    </r>
    <r>
      <rPr>
        <vertAlign val="subscript"/>
        <sz val="10"/>
        <rFont val="Arial"/>
        <family val="0"/>
      </rPr>
      <t>2</t>
    </r>
    <r>
      <rPr>
        <sz val="10"/>
        <rFont val="Arial"/>
        <family val="0"/>
      </rPr>
      <t>O</t>
    </r>
    <r>
      <rPr>
        <vertAlign val="subscript"/>
        <sz val="10"/>
        <rFont val="Arial"/>
        <family val="0"/>
      </rPr>
      <t>7</t>
    </r>
    <r>
      <rPr>
        <vertAlign val="superscript"/>
        <sz val="10"/>
        <rFont val="Arial"/>
        <family val="0"/>
      </rPr>
      <t>2-</t>
    </r>
  </si>
  <si>
    <r>
      <t>115 Co</t>
    </r>
    <r>
      <rPr>
        <vertAlign val="subscript"/>
        <sz val="10"/>
        <rFont val="Arial"/>
        <family val="0"/>
      </rPr>
      <t>2</t>
    </r>
    <r>
      <rPr>
        <sz val="10"/>
        <rFont val="Arial"/>
        <family val="0"/>
      </rPr>
      <t>S</t>
    </r>
    <r>
      <rPr>
        <vertAlign val="subscript"/>
        <sz val="10"/>
        <rFont val="Arial"/>
        <family val="0"/>
      </rPr>
      <t>2</t>
    </r>
    <r>
      <rPr>
        <sz val="10"/>
        <rFont val="Arial"/>
        <family val="0"/>
      </rPr>
      <t>(CO)</t>
    </r>
    <r>
      <rPr>
        <vertAlign val="subscript"/>
        <sz val="10"/>
        <rFont val="Arial"/>
        <family val="0"/>
      </rPr>
      <t>6</t>
    </r>
    <r>
      <rPr>
        <vertAlign val="superscript"/>
        <sz val="10"/>
        <rFont val="Arial"/>
        <family val="0"/>
      </rPr>
      <t>2+</t>
    </r>
  </si>
  <si>
    <r>
      <t>115 CrF</t>
    </r>
    <r>
      <rPr>
        <vertAlign val="subscript"/>
        <sz val="10"/>
        <rFont val="Arial"/>
        <family val="0"/>
      </rPr>
      <t>6</t>
    </r>
    <r>
      <rPr>
        <vertAlign val="superscript"/>
        <sz val="10"/>
        <rFont val="Arial"/>
        <family val="0"/>
      </rPr>
      <t>2-</t>
    </r>
  </si>
  <si>
    <r>
      <t>116 FeW(Se)</t>
    </r>
    <r>
      <rPr>
        <vertAlign val="subscript"/>
        <sz val="10"/>
        <rFont val="Arial"/>
        <family val="0"/>
      </rPr>
      <t>2</t>
    </r>
    <r>
      <rPr>
        <sz val="10"/>
        <rFont val="Arial"/>
        <family val="0"/>
      </rPr>
      <t>(CO)</t>
    </r>
    <r>
      <rPr>
        <vertAlign val="superscript"/>
        <sz val="10"/>
        <rFont val="Arial"/>
        <family val="0"/>
      </rPr>
      <t>2+</t>
    </r>
  </si>
  <si>
    <r>
      <t>116 CrO</t>
    </r>
    <r>
      <rPr>
        <vertAlign val="subscript"/>
        <sz val="10"/>
        <rFont val="Arial"/>
        <family val="0"/>
      </rPr>
      <t>4</t>
    </r>
    <r>
      <rPr>
        <vertAlign val="superscript"/>
        <sz val="10"/>
        <rFont val="Arial"/>
        <family val="0"/>
      </rPr>
      <t>2-</t>
    </r>
  </si>
  <si>
    <r>
      <t>117 I</t>
    </r>
    <r>
      <rPr>
        <vertAlign val="subscript"/>
        <sz val="10"/>
        <rFont val="Arial"/>
        <family val="0"/>
      </rPr>
      <t>4</t>
    </r>
    <r>
      <rPr>
        <vertAlign val="superscript"/>
        <sz val="10"/>
        <rFont val="Arial"/>
        <family val="0"/>
      </rPr>
      <t>2+</t>
    </r>
  </si>
  <si>
    <r>
      <t>117 CuCl</t>
    </r>
    <r>
      <rPr>
        <vertAlign val="subscript"/>
        <sz val="10"/>
        <rFont val="Arial"/>
        <family val="0"/>
      </rPr>
      <t>4</t>
    </r>
    <r>
      <rPr>
        <vertAlign val="superscript"/>
        <sz val="10"/>
        <rFont val="Arial"/>
        <family val="0"/>
      </rPr>
      <t>2-</t>
    </r>
  </si>
  <si>
    <r>
      <t>118 Mo(Te</t>
    </r>
    <r>
      <rPr>
        <vertAlign val="subscript"/>
        <sz val="10"/>
        <rFont val="Arial"/>
        <family val="0"/>
      </rPr>
      <t>3</t>
    </r>
    <r>
      <rPr>
        <sz val="10"/>
        <rFont val="Arial"/>
        <family val="0"/>
      </rPr>
      <t>)(CO)</t>
    </r>
    <r>
      <rPr>
        <vertAlign val="subscript"/>
        <sz val="10"/>
        <rFont val="Arial"/>
        <family val="0"/>
      </rPr>
      <t>4</t>
    </r>
    <r>
      <rPr>
        <vertAlign val="superscript"/>
        <sz val="10"/>
        <rFont val="Arial"/>
        <family val="0"/>
      </rPr>
      <t>2+</t>
    </r>
  </si>
  <si>
    <r>
      <t>118 CuF</t>
    </r>
    <r>
      <rPr>
        <vertAlign val="subscript"/>
        <sz val="10"/>
        <rFont val="Arial"/>
        <family val="0"/>
      </rPr>
      <t>4</t>
    </r>
    <r>
      <rPr>
        <vertAlign val="superscript"/>
        <sz val="10"/>
        <rFont val="Arial"/>
        <family val="0"/>
      </rPr>
      <t>2-</t>
    </r>
  </si>
  <si>
    <r>
      <t>119 S</t>
    </r>
    <r>
      <rPr>
        <vertAlign val="subscript"/>
        <sz val="10"/>
        <rFont val="Arial"/>
        <family val="0"/>
      </rPr>
      <t>19</t>
    </r>
    <r>
      <rPr>
        <vertAlign val="superscript"/>
        <sz val="10"/>
        <rFont val="Arial"/>
        <family val="0"/>
      </rPr>
      <t>2+</t>
    </r>
  </si>
  <si>
    <r>
      <t>119 GeCl</t>
    </r>
    <r>
      <rPr>
        <vertAlign val="subscript"/>
        <sz val="10"/>
        <rFont val="Arial"/>
        <family val="0"/>
      </rPr>
      <t>6</t>
    </r>
    <r>
      <rPr>
        <vertAlign val="superscript"/>
        <sz val="10"/>
        <rFont val="Arial"/>
        <family val="0"/>
      </rPr>
      <t>2-</t>
    </r>
  </si>
  <si>
    <r>
      <t>120 S</t>
    </r>
    <r>
      <rPr>
        <vertAlign val="subscript"/>
        <sz val="10"/>
        <rFont val="Arial"/>
        <family val="0"/>
      </rPr>
      <t>2</t>
    </r>
    <r>
      <rPr>
        <sz val="10"/>
        <rFont val="Arial"/>
        <family val="0"/>
      </rPr>
      <t>(S(CH</t>
    </r>
    <r>
      <rPr>
        <vertAlign val="subscript"/>
        <sz val="10"/>
        <rFont val="Arial"/>
        <family val="0"/>
      </rPr>
      <t>3</t>
    </r>
    <r>
      <rPr>
        <sz val="10"/>
        <rFont val="Arial"/>
        <family val="0"/>
      </rPr>
      <t>)</t>
    </r>
    <r>
      <rPr>
        <vertAlign val="subscript"/>
        <sz val="10"/>
        <rFont val="Arial"/>
        <family val="0"/>
      </rPr>
      <t>2</t>
    </r>
    <r>
      <rPr>
        <sz val="10"/>
        <rFont val="Arial"/>
        <family val="0"/>
      </rPr>
      <t>)</t>
    </r>
    <r>
      <rPr>
        <vertAlign val="subscript"/>
        <sz val="10"/>
        <rFont val="Arial"/>
        <family val="0"/>
      </rPr>
      <t>2</t>
    </r>
    <r>
      <rPr>
        <vertAlign val="superscript"/>
        <sz val="10"/>
        <rFont val="Arial"/>
        <family val="0"/>
      </rPr>
      <t>2+</t>
    </r>
  </si>
  <si>
    <r>
      <t>120 GeF</t>
    </r>
    <r>
      <rPr>
        <vertAlign val="subscript"/>
        <sz val="10"/>
        <rFont val="Arial"/>
        <family val="0"/>
      </rPr>
      <t>6</t>
    </r>
    <r>
      <rPr>
        <vertAlign val="superscript"/>
        <sz val="10"/>
        <rFont val="Arial"/>
        <family val="0"/>
      </rPr>
      <t>2-</t>
    </r>
  </si>
  <si>
    <r>
      <t>121 S</t>
    </r>
    <r>
      <rPr>
        <vertAlign val="subscript"/>
        <sz val="10"/>
        <rFont val="Arial"/>
        <family val="0"/>
      </rPr>
      <t>2</t>
    </r>
    <r>
      <rPr>
        <sz val="10"/>
        <rFont val="Arial"/>
        <family val="0"/>
      </rPr>
      <t>I</t>
    </r>
    <r>
      <rPr>
        <vertAlign val="subscript"/>
        <sz val="10"/>
        <rFont val="Arial"/>
        <family val="0"/>
      </rPr>
      <t>4</t>
    </r>
    <r>
      <rPr>
        <vertAlign val="superscript"/>
        <sz val="10"/>
        <rFont val="Arial"/>
        <family val="0"/>
      </rPr>
      <t>2+</t>
    </r>
  </si>
  <si>
    <r>
      <t>121 HfF</t>
    </r>
    <r>
      <rPr>
        <vertAlign val="subscript"/>
        <sz val="10"/>
        <rFont val="Arial"/>
        <family val="0"/>
      </rPr>
      <t>6</t>
    </r>
    <r>
      <rPr>
        <vertAlign val="superscript"/>
        <sz val="10"/>
        <rFont val="Arial"/>
        <family val="0"/>
      </rPr>
      <t>2-</t>
    </r>
  </si>
  <si>
    <r>
      <t>122 S</t>
    </r>
    <r>
      <rPr>
        <vertAlign val="subscript"/>
        <sz val="10"/>
        <rFont val="Arial"/>
        <family val="0"/>
      </rPr>
      <t>3</t>
    </r>
    <r>
      <rPr>
        <sz val="10"/>
        <rFont val="Arial"/>
        <family val="0"/>
      </rPr>
      <t>N</t>
    </r>
    <r>
      <rPr>
        <vertAlign val="subscript"/>
        <sz val="10"/>
        <rFont val="Arial"/>
        <family val="0"/>
      </rPr>
      <t>2</t>
    </r>
    <r>
      <rPr>
        <vertAlign val="superscript"/>
        <sz val="10"/>
        <rFont val="Arial"/>
        <family val="0"/>
      </rPr>
      <t>2+</t>
    </r>
  </si>
  <si>
    <r>
      <t>122 HgI</t>
    </r>
    <r>
      <rPr>
        <vertAlign val="subscript"/>
        <sz val="10"/>
        <rFont val="Arial"/>
        <family val="0"/>
      </rPr>
      <t>4</t>
    </r>
    <r>
      <rPr>
        <vertAlign val="superscript"/>
        <sz val="10"/>
        <rFont val="Arial"/>
        <family val="0"/>
      </rPr>
      <t>2-</t>
    </r>
  </si>
  <si>
    <r>
      <t>123 S</t>
    </r>
    <r>
      <rPr>
        <vertAlign val="subscript"/>
        <sz val="10"/>
        <rFont val="Arial"/>
        <family val="0"/>
      </rPr>
      <t>3</t>
    </r>
    <r>
      <rPr>
        <sz val="10"/>
        <rFont val="Arial"/>
        <family val="0"/>
      </rPr>
      <t>NCCNS</t>
    </r>
    <r>
      <rPr>
        <vertAlign val="subscript"/>
        <sz val="10"/>
        <rFont val="Arial"/>
        <family val="0"/>
      </rPr>
      <t>3</t>
    </r>
    <r>
      <rPr>
        <vertAlign val="superscript"/>
        <sz val="10"/>
        <rFont val="Arial"/>
        <family val="0"/>
      </rPr>
      <t>2+</t>
    </r>
  </si>
  <si>
    <r>
      <t>123 IrCl</t>
    </r>
    <r>
      <rPr>
        <vertAlign val="subscript"/>
        <sz val="10"/>
        <rFont val="Arial"/>
        <family val="0"/>
      </rPr>
      <t>6</t>
    </r>
    <r>
      <rPr>
        <vertAlign val="superscript"/>
        <sz val="10"/>
        <rFont val="Arial"/>
        <family val="0"/>
      </rPr>
      <t>2-</t>
    </r>
  </si>
  <si>
    <r>
      <t>124 S</t>
    </r>
    <r>
      <rPr>
        <vertAlign val="subscript"/>
        <sz val="10"/>
        <rFont val="Arial"/>
        <family val="0"/>
      </rPr>
      <t>3</t>
    </r>
    <r>
      <rPr>
        <sz val="10"/>
        <rFont val="Arial"/>
        <family val="0"/>
      </rPr>
      <t>Se</t>
    </r>
    <r>
      <rPr>
        <vertAlign val="superscript"/>
        <sz val="10"/>
        <rFont val="Arial"/>
        <family val="0"/>
      </rPr>
      <t>2+</t>
    </r>
  </si>
  <si>
    <r>
      <t>124 MnCl</t>
    </r>
    <r>
      <rPr>
        <vertAlign val="subscript"/>
        <sz val="10"/>
        <rFont val="Arial"/>
        <family val="0"/>
      </rPr>
      <t>6</t>
    </r>
    <r>
      <rPr>
        <vertAlign val="superscript"/>
        <sz val="10"/>
        <rFont val="Arial"/>
        <family val="0"/>
      </rPr>
      <t>2-</t>
    </r>
  </si>
  <si>
    <r>
      <t>125 S</t>
    </r>
    <r>
      <rPr>
        <vertAlign val="subscript"/>
        <sz val="10"/>
        <rFont val="Arial"/>
        <family val="0"/>
      </rPr>
      <t>4</t>
    </r>
    <r>
      <rPr>
        <sz val="10"/>
        <rFont val="Arial"/>
        <family val="0"/>
      </rPr>
      <t>N</t>
    </r>
    <r>
      <rPr>
        <vertAlign val="subscript"/>
        <sz val="10"/>
        <rFont val="Arial"/>
        <family val="0"/>
      </rPr>
      <t>4</t>
    </r>
    <r>
      <rPr>
        <vertAlign val="superscript"/>
        <sz val="10"/>
        <rFont val="Arial"/>
        <family val="0"/>
      </rPr>
      <t>2+</t>
    </r>
  </si>
  <si>
    <r>
      <t>125 MnF</t>
    </r>
    <r>
      <rPr>
        <vertAlign val="subscript"/>
        <sz val="10"/>
        <rFont val="Arial"/>
        <family val="0"/>
      </rPr>
      <t>4</t>
    </r>
    <r>
      <rPr>
        <vertAlign val="superscript"/>
        <sz val="10"/>
        <rFont val="Arial"/>
        <family val="0"/>
      </rPr>
      <t>2-</t>
    </r>
  </si>
  <si>
    <r>
      <t>126 S</t>
    </r>
    <r>
      <rPr>
        <vertAlign val="subscript"/>
        <sz val="10"/>
        <rFont val="Arial"/>
        <family val="0"/>
      </rPr>
      <t>6</t>
    </r>
    <r>
      <rPr>
        <sz val="10"/>
        <rFont val="Arial"/>
        <family val="0"/>
      </rPr>
      <t>N</t>
    </r>
    <r>
      <rPr>
        <vertAlign val="subscript"/>
        <sz val="10"/>
        <rFont val="Arial"/>
        <family val="0"/>
      </rPr>
      <t>4</t>
    </r>
    <r>
      <rPr>
        <vertAlign val="superscript"/>
        <sz val="10"/>
        <rFont val="Arial"/>
        <family val="0"/>
      </rPr>
      <t>2+</t>
    </r>
  </si>
  <si>
    <r>
      <t>126 MnF</t>
    </r>
    <r>
      <rPr>
        <vertAlign val="subscript"/>
        <sz val="10"/>
        <rFont val="Arial"/>
        <family val="0"/>
      </rPr>
      <t>6</t>
    </r>
    <r>
      <rPr>
        <vertAlign val="superscript"/>
        <sz val="10"/>
        <rFont val="Arial"/>
        <family val="0"/>
      </rPr>
      <t>2-</t>
    </r>
  </si>
  <si>
    <r>
      <t>127 S</t>
    </r>
    <r>
      <rPr>
        <vertAlign val="subscript"/>
        <sz val="10"/>
        <rFont val="Arial"/>
        <family val="0"/>
      </rPr>
      <t>8</t>
    </r>
    <r>
      <rPr>
        <vertAlign val="superscript"/>
        <sz val="10"/>
        <rFont val="Arial"/>
        <family val="0"/>
      </rPr>
      <t>2+</t>
    </r>
  </si>
  <si>
    <r>
      <t>127 MoBr</t>
    </r>
    <r>
      <rPr>
        <vertAlign val="subscript"/>
        <sz val="10"/>
        <rFont val="Arial"/>
        <family val="0"/>
      </rPr>
      <t>6</t>
    </r>
    <r>
      <rPr>
        <vertAlign val="superscript"/>
        <sz val="10"/>
        <rFont val="Arial"/>
        <family val="0"/>
      </rPr>
      <t>2-</t>
    </r>
  </si>
  <si>
    <r>
      <t>128 Se</t>
    </r>
    <r>
      <rPr>
        <vertAlign val="subscript"/>
        <sz val="10"/>
        <rFont val="Arial"/>
        <family val="0"/>
      </rPr>
      <t>10</t>
    </r>
    <r>
      <rPr>
        <vertAlign val="superscript"/>
        <sz val="10"/>
        <rFont val="Arial"/>
        <family val="0"/>
      </rPr>
      <t>2+</t>
    </r>
  </si>
  <si>
    <r>
      <t>128 MoCl</t>
    </r>
    <r>
      <rPr>
        <vertAlign val="subscript"/>
        <sz val="10"/>
        <rFont val="Arial"/>
        <family val="0"/>
      </rPr>
      <t>6</t>
    </r>
    <r>
      <rPr>
        <vertAlign val="superscript"/>
        <sz val="10"/>
        <rFont val="Arial"/>
        <family val="0"/>
      </rPr>
      <t>2-</t>
    </r>
  </si>
  <si>
    <r>
      <t>129 Se</t>
    </r>
    <r>
      <rPr>
        <vertAlign val="subscript"/>
        <sz val="10"/>
        <rFont val="Arial"/>
        <family val="0"/>
      </rPr>
      <t>17</t>
    </r>
    <r>
      <rPr>
        <vertAlign val="superscript"/>
        <sz val="10"/>
        <rFont val="Arial"/>
        <family val="0"/>
      </rPr>
      <t>2+</t>
    </r>
  </si>
  <si>
    <r>
      <t>129 MoF</t>
    </r>
    <r>
      <rPr>
        <vertAlign val="subscript"/>
        <sz val="10"/>
        <rFont val="Arial"/>
        <family val="0"/>
      </rPr>
      <t>6</t>
    </r>
    <r>
      <rPr>
        <vertAlign val="superscript"/>
        <sz val="10"/>
        <rFont val="Arial"/>
        <family val="0"/>
      </rPr>
      <t>2-</t>
    </r>
  </si>
  <si>
    <r>
      <t>130 Se</t>
    </r>
    <r>
      <rPr>
        <vertAlign val="subscript"/>
        <sz val="10"/>
        <rFont val="Arial"/>
        <family val="0"/>
      </rPr>
      <t>19</t>
    </r>
    <r>
      <rPr>
        <vertAlign val="superscript"/>
        <sz val="10"/>
        <rFont val="Arial"/>
        <family val="0"/>
      </rPr>
      <t>2+</t>
    </r>
  </si>
  <si>
    <r>
      <t>130 MoO</t>
    </r>
    <r>
      <rPr>
        <vertAlign val="subscript"/>
        <sz val="10"/>
        <rFont val="Arial"/>
        <family val="0"/>
      </rPr>
      <t>4</t>
    </r>
    <r>
      <rPr>
        <vertAlign val="superscript"/>
        <sz val="10"/>
        <rFont val="Arial"/>
        <family val="0"/>
      </rPr>
      <t>2-</t>
    </r>
  </si>
  <si>
    <r>
      <t>131 Se</t>
    </r>
    <r>
      <rPr>
        <vertAlign val="subscript"/>
        <sz val="10"/>
        <rFont val="Arial"/>
        <family val="0"/>
      </rPr>
      <t>2</t>
    </r>
    <r>
      <rPr>
        <sz val="10"/>
        <rFont val="Arial"/>
        <family val="0"/>
      </rPr>
      <t>I</t>
    </r>
    <r>
      <rPr>
        <vertAlign val="subscript"/>
        <sz val="10"/>
        <rFont val="Arial"/>
        <family val="0"/>
      </rPr>
      <t>4</t>
    </r>
    <r>
      <rPr>
        <vertAlign val="superscript"/>
        <sz val="10"/>
        <rFont val="Arial"/>
        <family val="0"/>
      </rPr>
      <t>2+</t>
    </r>
  </si>
  <si>
    <r>
      <t>131 MoOCl</t>
    </r>
    <r>
      <rPr>
        <vertAlign val="subscript"/>
        <sz val="10"/>
        <rFont val="Arial"/>
        <family val="0"/>
      </rPr>
      <t>5</t>
    </r>
    <r>
      <rPr>
        <vertAlign val="superscript"/>
        <sz val="10"/>
        <rFont val="Arial"/>
        <family val="0"/>
      </rPr>
      <t>2-</t>
    </r>
  </si>
  <si>
    <r>
      <t>132 Se</t>
    </r>
    <r>
      <rPr>
        <vertAlign val="subscript"/>
        <sz val="10"/>
        <rFont val="Arial"/>
        <family val="0"/>
      </rPr>
      <t>3</t>
    </r>
    <r>
      <rPr>
        <sz val="10"/>
        <rFont val="Arial"/>
        <family val="0"/>
      </rPr>
      <t>N</t>
    </r>
    <r>
      <rPr>
        <vertAlign val="subscript"/>
        <sz val="10"/>
        <rFont val="Arial"/>
        <family val="0"/>
      </rPr>
      <t>2</t>
    </r>
    <r>
      <rPr>
        <vertAlign val="superscript"/>
        <sz val="10"/>
        <rFont val="Arial"/>
        <family val="0"/>
      </rPr>
      <t>2+</t>
    </r>
  </si>
  <si>
    <r>
      <t>132 NbCl</t>
    </r>
    <r>
      <rPr>
        <vertAlign val="subscript"/>
        <sz val="10"/>
        <rFont val="Arial"/>
        <family val="0"/>
      </rPr>
      <t>6</t>
    </r>
    <r>
      <rPr>
        <vertAlign val="superscript"/>
        <sz val="10"/>
        <rFont val="Arial"/>
        <family val="0"/>
      </rPr>
      <t>2-</t>
    </r>
  </si>
  <si>
    <r>
      <t>133 Se</t>
    </r>
    <r>
      <rPr>
        <vertAlign val="subscript"/>
        <sz val="10"/>
        <rFont val="Arial"/>
        <family val="0"/>
      </rPr>
      <t>4</t>
    </r>
    <r>
      <rPr>
        <vertAlign val="superscript"/>
        <sz val="10"/>
        <rFont val="Arial"/>
        <family val="0"/>
      </rPr>
      <t>2+</t>
    </r>
  </si>
  <si>
    <r>
      <t>133 NbOCl</t>
    </r>
    <r>
      <rPr>
        <vertAlign val="subscript"/>
        <sz val="10"/>
        <rFont val="Arial"/>
        <family val="0"/>
      </rPr>
      <t>5</t>
    </r>
    <r>
      <rPr>
        <vertAlign val="superscript"/>
        <sz val="10"/>
        <rFont val="Arial"/>
        <family val="0"/>
      </rPr>
      <t>2-</t>
    </r>
  </si>
  <si>
    <r>
      <t>134 Se</t>
    </r>
    <r>
      <rPr>
        <vertAlign val="subscript"/>
        <sz val="10"/>
        <rFont val="Arial"/>
        <family val="0"/>
      </rPr>
      <t>4</t>
    </r>
    <r>
      <rPr>
        <sz val="10"/>
        <rFont val="Arial"/>
        <family val="0"/>
      </rPr>
      <t>S</t>
    </r>
    <r>
      <rPr>
        <vertAlign val="subscript"/>
        <sz val="10"/>
        <rFont val="Arial"/>
        <family val="0"/>
      </rPr>
      <t>2</t>
    </r>
    <r>
      <rPr>
        <sz val="10"/>
        <rFont val="Arial"/>
        <family val="0"/>
      </rPr>
      <t>N</t>
    </r>
    <r>
      <rPr>
        <vertAlign val="subscript"/>
        <sz val="10"/>
        <rFont val="Arial"/>
        <family val="0"/>
      </rPr>
      <t>4</t>
    </r>
    <r>
      <rPr>
        <vertAlign val="superscript"/>
        <sz val="10"/>
        <rFont val="Arial"/>
        <family val="0"/>
      </rPr>
      <t>2+</t>
    </r>
  </si>
  <si>
    <r>
      <t>134 NbOF</t>
    </r>
    <r>
      <rPr>
        <vertAlign val="subscript"/>
        <sz val="10"/>
        <rFont val="Arial"/>
        <family val="0"/>
      </rPr>
      <t>5</t>
    </r>
    <r>
      <rPr>
        <vertAlign val="superscript"/>
        <sz val="10"/>
        <rFont val="Arial"/>
        <family val="0"/>
      </rPr>
      <t>2-</t>
    </r>
  </si>
  <si>
    <r>
      <t>135 Se</t>
    </r>
    <r>
      <rPr>
        <vertAlign val="subscript"/>
        <sz val="10"/>
        <rFont val="Arial"/>
        <family val="0"/>
      </rPr>
      <t>8</t>
    </r>
    <r>
      <rPr>
        <vertAlign val="superscript"/>
        <sz val="10"/>
        <rFont val="Arial"/>
        <family val="0"/>
      </rPr>
      <t>2+</t>
    </r>
  </si>
  <si>
    <r>
      <t>135 Nb</t>
    </r>
    <r>
      <rPr>
        <vertAlign val="subscript"/>
        <sz val="10"/>
        <rFont val="Arial"/>
        <family val="0"/>
      </rPr>
      <t>2</t>
    </r>
    <r>
      <rPr>
        <sz val="10"/>
        <rFont val="Arial"/>
        <family val="0"/>
      </rPr>
      <t>OCl</t>
    </r>
    <r>
      <rPr>
        <vertAlign val="subscript"/>
        <sz val="10"/>
        <rFont val="Arial"/>
        <family val="0"/>
      </rPr>
      <t>10</t>
    </r>
    <r>
      <rPr>
        <vertAlign val="superscript"/>
        <sz val="10"/>
        <rFont val="Arial"/>
        <family val="0"/>
      </rPr>
      <t>2-</t>
    </r>
  </si>
  <si>
    <r>
      <t>136 SeN</t>
    </r>
    <r>
      <rPr>
        <vertAlign val="subscript"/>
        <sz val="10"/>
        <rFont val="Arial"/>
        <family val="0"/>
      </rPr>
      <t>2</t>
    </r>
    <r>
      <rPr>
        <sz val="10"/>
        <rFont val="Arial"/>
        <family val="0"/>
      </rPr>
      <t>S</t>
    </r>
    <r>
      <rPr>
        <vertAlign val="subscript"/>
        <sz val="10"/>
        <rFont val="Arial"/>
        <family val="0"/>
      </rPr>
      <t>2</t>
    </r>
    <r>
      <rPr>
        <vertAlign val="superscript"/>
        <sz val="10"/>
        <rFont val="Arial"/>
        <family val="0"/>
      </rPr>
      <t>2+</t>
    </r>
  </si>
  <si>
    <r>
      <t>136 NH</t>
    </r>
    <r>
      <rPr>
        <vertAlign val="superscript"/>
        <sz val="10"/>
        <rFont val="Arial"/>
        <family val="0"/>
      </rPr>
      <t>2-</t>
    </r>
  </si>
  <si>
    <r>
      <t>137 (SNP(C</t>
    </r>
    <r>
      <rPr>
        <vertAlign val="subscript"/>
        <sz val="10"/>
        <rFont val="Arial"/>
        <family val="0"/>
      </rPr>
      <t>2</t>
    </r>
    <r>
      <rPr>
        <sz val="10"/>
        <rFont val="Arial"/>
        <family val="0"/>
      </rPr>
      <t>H</t>
    </r>
    <r>
      <rPr>
        <vertAlign val="subscript"/>
        <sz val="10"/>
        <rFont val="Arial"/>
        <family val="0"/>
      </rPr>
      <t>5</t>
    </r>
    <r>
      <rPr>
        <sz val="10"/>
        <rFont val="Arial"/>
        <family val="0"/>
      </rPr>
      <t>)</t>
    </r>
    <r>
      <rPr>
        <vertAlign val="subscript"/>
        <sz val="10"/>
        <rFont val="Arial"/>
        <family val="0"/>
      </rPr>
      <t>3</t>
    </r>
    <r>
      <rPr>
        <sz val="10"/>
        <rFont val="Arial"/>
        <family val="0"/>
      </rPr>
      <t>)</t>
    </r>
    <r>
      <rPr>
        <vertAlign val="subscript"/>
        <sz val="10"/>
        <rFont val="Arial"/>
        <family val="0"/>
      </rPr>
      <t>2</t>
    </r>
    <r>
      <rPr>
        <vertAlign val="superscript"/>
        <sz val="10"/>
        <rFont val="Arial"/>
        <family val="0"/>
      </rPr>
      <t>2+</t>
    </r>
  </si>
  <si>
    <r>
      <t>137 Ni(CN)</t>
    </r>
    <r>
      <rPr>
        <vertAlign val="subscript"/>
        <sz val="10"/>
        <rFont val="Arial"/>
        <family val="0"/>
      </rPr>
      <t>4</t>
    </r>
    <r>
      <rPr>
        <vertAlign val="superscript"/>
        <sz val="10"/>
        <rFont val="Arial"/>
        <family val="0"/>
      </rPr>
      <t>2-</t>
    </r>
  </si>
  <si>
    <r>
      <t>138 Te(trtu)</t>
    </r>
    <r>
      <rPr>
        <vertAlign val="subscript"/>
        <sz val="10"/>
        <rFont val="Arial"/>
        <family val="0"/>
      </rPr>
      <t>4</t>
    </r>
    <r>
      <rPr>
        <vertAlign val="superscript"/>
        <sz val="10"/>
        <rFont val="Arial"/>
        <family val="0"/>
      </rPr>
      <t>2+</t>
    </r>
  </si>
  <si>
    <r>
      <t>138 NiF</t>
    </r>
    <r>
      <rPr>
        <vertAlign val="subscript"/>
        <sz val="10"/>
        <rFont val="Arial"/>
        <family val="0"/>
      </rPr>
      <t>4</t>
    </r>
    <r>
      <rPr>
        <vertAlign val="superscript"/>
        <sz val="10"/>
        <rFont val="Arial"/>
        <family val="0"/>
      </rPr>
      <t>2-</t>
    </r>
  </si>
  <si>
    <r>
      <t>139 Te(tu)</t>
    </r>
    <r>
      <rPr>
        <vertAlign val="subscript"/>
        <sz val="10"/>
        <rFont val="Arial"/>
        <family val="0"/>
      </rPr>
      <t>4</t>
    </r>
    <r>
      <rPr>
        <vertAlign val="superscript"/>
        <sz val="10"/>
        <rFont val="Arial"/>
        <family val="0"/>
      </rPr>
      <t>2+</t>
    </r>
  </si>
  <si>
    <r>
      <t>139 NiF</t>
    </r>
    <r>
      <rPr>
        <vertAlign val="subscript"/>
        <sz val="10"/>
        <rFont val="Arial"/>
        <family val="0"/>
      </rPr>
      <t>6</t>
    </r>
    <r>
      <rPr>
        <vertAlign val="superscript"/>
        <sz val="10"/>
        <rFont val="Arial"/>
        <family val="0"/>
      </rPr>
      <t>2-</t>
    </r>
  </si>
  <si>
    <r>
      <t>140 Te</t>
    </r>
    <r>
      <rPr>
        <vertAlign val="subscript"/>
        <sz val="10"/>
        <rFont val="Arial"/>
        <family val="0"/>
      </rPr>
      <t>2</t>
    </r>
    <r>
      <rPr>
        <sz val="10"/>
        <rFont val="Arial"/>
        <family val="0"/>
      </rPr>
      <t>(esu)</t>
    </r>
    <r>
      <rPr>
        <vertAlign val="subscript"/>
        <sz val="10"/>
        <rFont val="Arial"/>
        <family val="0"/>
      </rPr>
      <t>4</t>
    </r>
    <r>
      <rPr>
        <sz val="10"/>
        <rFont val="Arial"/>
        <family val="0"/>
      </rPr>
      <t>Br</t>
    </r>
    <r>
      <rPr>
        <vertAlign val="subscript"/>
        <sz val="10"/>
        <rFont val="Arial"/>
        <family val="0"/>
      </rPr>
      <t>2</t>
    </r>
    <r>
      <rPr>
        <vertAlign val="superscript"/>
        <sz val="10"/>
        <rFont val="Arial"/>
        <family val="0"/>
      </rPr>
      <t>2+</t>
    </r>
  </si>
  <si>
    <r>
      <t>140 O</t>
    </r>
    <r>
      <rPr>
        <vertAlign val="superscript"/>
        <sz val="10"/>
        <rFont val="Arial"/>
        <family val="0"/>
      </rPr>
      <t>2-</t>
    </r>
  </si>
  <si>
    <r>
      <t>141 Te</t>
    </r>
    <r>
      <rPr>
        <vertAlign val="subscript"/>
        <sz val="10"/>
        <rFont val="Arial"/>
        <family val="0"/>
      </rPr>
      <t>2</t>
    </r>
    <r>
      <rPr>
        <sz val="10"/>
        <rFont val="Arial"/>
        <family val="0"/>
      </rPr>
      <t>(esu)</t>
    </r>
    <r>
      <rPr>
        <vertAlign val="subscript"/>
        <sz val="10"/>
        <rFont val="Arial"/>
        <family val="0"/>
      </rPr>
      <t>4</t>
    </r>
    <r>
      <rPr>
        <sz val="10"/>
        <rFont val="Arial"/>
        <family val="0"/>
      </rPr>
      <t>Cl</t>
    </r>
    <r>
      <rPr>
        <vertAlign val="subscript"/>
        <sz val="10"/>
        <rFont val="Arial"/>
        <family val="0"/>
      </rPr>
      <t>2</t>
    </r>
    <r>
      <rPr>
        <vertAlign val="superscript"/>
        <sz val="10"/>
        <rFont val="Arial"/>
        <family val="0"/>
      </rPr>
      <t>2+</t>
    </r>
  </si>
  <si>
    <r>
      <t>141 O</t>
    </r>
    <r>
      <rPr>
        <vertAlign val="subscript"/>
        <sz val="10"/>
        <rFont val="Arial"/>
        <family val="0"/>
      </rPr>
      <t>2</t>
    </r>
    <r>
      <rPr>
        <vertAlign val="superscript"/>
        <sz val="10"/>
        <rFont val="Arial"/>
        <family val="0"/>
      </rPr>
      <t>2-</t>
    </r>
  </si>
  <si>
    <r>
      <t>142 Te</t>
    </r>
    <r>
      <rPr>
        <vertAlign val="subscript"/>
        <sz val="10"/>
        <rFont val="Arial"/>
        <family val="0"/>
      </rPr>
      <t>2</t>
    </r>
    <r>
      <rPr>
        <sz val="10"/>
        <rFont val="Arial"/>
        <family val="0"/>
      </rPr>
      <t>(esu)</t>
    </r>
    <r>
      <rPr>
        <vertAlign val="subscript"/>
        <sz val="10"/>
        <rFont val="Arial"/>
        <family val="0"/>
      </rPr>
      <t>4</t>
    </r>
    <r>
      <rPr>
        <sz val="10"/>
        <rFont val="Arial"/>
        <family val="0"/>
      </rPr>
      <t>I</t>
    </r>
    <r>
      <rPr>
        <vertAlign val="subscript"/>
        <sz val="10"/>
        <rFont val="Arial"/>
        <family val="0"/>
      </rPr>
      <t>2</t>
    </r>
    <r>
      <rPr>
        <vertAlign val="superscript"/>
        <sz val="10"/>
        <rFont val="Arial"/>
        <family val="0"/>
      </rPr>
      <t>2+</t>
    </r>
  </si>
  <si>
    <r>
      <t>142 OsBr</t>
    </r>
    <r>
      <rPr>
        <vertAlign val="subscript"/>
        <sz val="10"/>
        <rFont val="Arial"/>
        <family val="0"/>
      </rPr>
      <t>6</t>
    </r>
    <r>
      <rPr>
        <vertAlign val="superscript"/>
        <sz val="10"/>
        <rFont val="Arial"/>
        <family val="0"/>
      </rPr>
      <t>2-</t>
    </r>
  </si>
  <si>
    <r>
      <t>143 Te</t>
    </r>
    <r>
      <rPr>
        <vertAlign val="subscript"/>
        <sz val="10"/>
        <rFont val="Arial"/>
        <family val="0"/>
      </rPr>
      <t>2</t>
    </r>
    <r>
      <rPr>
        <sz val="10"/>
        <rFont val="Arial"/>
        <family val="0"/>
      </rPr>
      <t>Se</t>
    </r>
    <r>
      <rPr>
        <vertAlign val="subscript"/>
        <sz val="10"/>
        <rFont val="Arial"/>
        <family val="0"/>
      </rPr>
      <t>2</t>
    </r>
    <r>
      <rPr>
        <vertAlign val="superscript"/>
        <sz val="10"/>
        <rFont val="Arial"/>
        <family val="0"/>
      </rPr>
      <t>2+</t>
    </r>
  </si>
  <si>
    <r>
      <t>143 OsCl</t>
    </r>
    <r>
      <rPr>
        <vertAlign val="subscript"/>
        <sz val="10"/>
        <rFont val="Arial"/>
        <family val="0"/>
      </rPr>
      <t>6</t>
    </r>
    <r>
      <rPr>
        <vertAlign val="superscript"/>
        <sz val="10"/>
        <rFont val="Arial"/>
        <family val="0"/>
      </rPr>
      <t>2-</t>
    </r>
  </si>
  <si>
    <r>
      <t>144 Te</t>
    </r>
    <r>
      <rPr>
        <vertAlign val="subscript"/>
        <sz val="10"/>
        <rFont val="Arial"/>
        <family val="0"/>
      </rPr>
      <t>2</t>
    </r>
    <r>
      <rPr>
        <sz val="10"/>
        <rFont val="Arial"/>
        <family val="0"/>
      </rPr>
      <t>Se</t>
    </r>
    <r>
      <rPr>
        <vertAlign val="subscript"/>
        <sz val="10"/>
        <rFont val="Arial"/>
        <family val="0"/>
      </rPr>
      <t>4</t>
    </r>
    <r>
      <rPr>
        <vertAlign val="superscript"/>
        <sz val="10"/>
        <rFont val="Arial"/>
        <family val="0"/>
      </rPr>
      <t>2+</t>
    </r>
  </si>
  <si>
    <r>
      <t>144 OsF</t>
    </r>
    <r>
      <rPr>
        <vertAlign val="subscript"/>
        <sz val="10"/>
        <rFont val="Arial"/>
        <family val="0"/>
      </rPr>
      <t>6</t>
    </r>
    <r>
      <rPr>
        <vertAlign val="superscript"/>
        <sz val="10"/>
        <rFont val="Arial"/>
        <family val="0"/>
      </rPr>
      <t>2-</t>
    </r>
  </si>
  <si>
    <r>
      <t>145 Te</t>
    </r>
    <r>
      <rPr>
        <vertAlign val="subscript"/>
        <sz val="10"/>
        <rFont val="Arial"/>
        <family val="0"/>
      </rPr>
      <t>2</t>
    </r>
    <r>
      <rPr>
        <sz val="10"/>
        <rFont val="Arial"/>
        <family val="0"/>
      </rPr>
      <t>Se</t>
    </r>
    <r>
      <rPr>
        <vertAlign val="subscript"/>
        <sz val="10"/>
        <rFont val="Arial"/>
        <family val="0"/>
      </rPr>
      <t>8</t>
    </r>
    <r>
      <rPr>
        <vertAlign val="superscript"/>
        <sz val="10"/>
        <rFont val="Arial"/>
        <family val="0"/>
      </rPr>
      <t>2+</t>
    </r>
  </si>
  <si>
    <r>
      <t>145 PbCl</t>
    </r>
    <r>
      <rPr>
        <vertAlign val="subscript"/>
        <sz val="10"/>
        <rFont val="Arial"/>
        <family val="0"/>
      </rPr>
      <t>4</t>
    </r>
    <r>
      <rPr>
        <vertAlign val="superscript"/>
        <sz val="10"/>
        <rFont val="Arial"/>
        <family val="0"/>
      </rPr>
      <t>2-</t>
    </r>
  </si>
  <si>
    <r>
      <t>146 Te</t>
    </r>
    <r>
      <rPr>
        <vertAlign val="subscript"/>
        <sz val="10"/>
        <rFont val="Arial"/>
        <family val="0"/>
      </rPr>
      <t>3</t>
    </r>
    <r>
      <rPr>
        <sz val="10"/>
        <rFont val="Arial"/>
        <family val="0"/>
      </rPr>
      <t>S</t>
    </r>
    <r>
      <rPr>
        <vertAlign val="subscript"/>
        <sz val="10"/>
        <rFont val="Arial"/>
        <family val="0"/>
      </rPr>
      <t>3</t>
    </r>
    <r>
      <rPr>
        <vertAlign val="superscript"/>
        <sz val="10"/>
        <rFont val="Arial"/>
        <family val="0"/>
      </rPr>
      <t>2+</t>
    </r>
  </si>
  <si>
    <r>
      <t>146 PbCl</t>
    </r>
    <r>
      <rPr>
        <vertAlign val="subscript"/>
        <sz val="10"/>
        <rFont val="Arial"/>
        <family val="0"/>
      </rPr>
      <t>6</t>
    </r>
    <r>
      <rPr>
        <vertAlign val="superscript"/>
        <sz val="10"/>
        <rFont val="Arial"/>
        <family val="0"/>
      </rPr>
      <t>2-</t>
    </r>
  </si>
  <si>
    <r>
      <t>147 Te</t>
    </r>
    <r>
      <rPr>
        <vertAlign val="subscript"/>
        <sz val="10"/>
        <rFont val="Arial"/>
        <family val="0"/>
      </rPr>
      <t>3</t>
    </r>
    <r>
      <rPr>
        <sz val="10"/>
        <rFont val="Arial"/>
        <family val="0"/>
      </rPr>
      <t>Se</t>
    </r>
    <r>
      <rPr>
        <vertAlign val="superscript"/>
        <sz val="10"/>
        <rFont val="Arial"/>
        <family val="0"/>
      </rPr>
      <t>2+</t>
    </r>
  </si>
  <si>
    <r>
      <t>147 PbF</t>
    </r>
    <r>
      <rPr>
        <vertAlign val="subscript"/>
        <sz val="10"/>
        <rFont val="Arial"/>
        <family val="0"/>
      </rPr>
      <t>6</t>
    </r>
    <r>
      <rPr>
        <vertAlign val="superscript"/>
        <sz val="10"/>
        <rFont val="Arial"/>
        <family val="0"/>
      </rPr>
      <t>2-</t>
    </r>
  </si>
  <si>
    <r>
      <t>148 Te</t>
    </r>
    <r>
      <rPr>
        <vertAlign val="subscript"/>
        <sz val="10"/>
        <rFont val="Arial"/>
        <family val="0"/>
      </rPr>
      <t>4</t>
    </r>
    <r>
      <rPr>
        <vertAlign val="superscript"/>
        <sz val="10"/>
        <rFont val="Arial"/>
        <family val="0"/>
      </rPr>
      <t>2+</t>
    </r>
  </si>
  <si>
    <r>
      <t>148 PdBr</t>
    </r>
    <r>
      <rPr>
        <vertAlign val="subscript"/>
        <sz val="10"/>
        <rFont val="Arial"/>
        <family val="0"/>
      </rPr>
      <t>6</t>
    </r>
    <r>
      <rPr>
        <vertAlign val="superscript"/>
        <sz val="10"/>
        <rFont val="Arial"/>
        <family val="0"/>
      </rPr>
      <t>2-</t>
    </r>
  </si>
  <si>
    <r>
      <t>149 Te</t>
    </r>
    <r>
      <rPr>
        <vertAlign val="subscript"/>
        <sz val="10"/>
        <rFont val="Arial"/>
        <family val="0"/>
      </rPr>
      <t>8</t>
    </r>
    <r>
      <rPr>
        <vertAlign val="superscript"/>
        <sz val="10"/>
        <rFont val="Arial"/>
        <family val="0"/>
      </rPr>
      <t>2+</t>
    </r>
  </si>
  <si>
    <r>
      <t>149 PdCl</t>
    </r>
    <r>
      <rPr>
        <vertAlign val="subscript"/>
        <sz val="10"/>
        <rFont val="Arial"/>
        <family val="0"/>
      </rPr>
      <t>4</t>
    </r>
    <r>
      <rPr>
        <vertAlign val="superscript"/>
        <sz val="10"/>
        <rFont val="Arial"/>
        <family val="0"/>
      </rPr>
      <t>2-</t>
    </r>
  </si>
  <si>
    <r>
      <t>150 W(CO)</t>
    </r>
    <r>
      <rPr>
        <vertAlign val="subscript"/>
        <sz val="10"/>
        <rFont val="Arial"/>
        <family val="0"/>
      </rPr>
      <t>4</t>
    </r>
    <r>
      <rPr>
        <sz val="10"/>
        <rFont val="Arial"/>
        <family val="0"/>
      </rPr>
      <t>(h 3-Te)</t>
    </r>
    <r>
      <rPr>
        <vertAlign val="superscript"/>
        <sz val="10"/>
        <rFont val="Arial"/>
        <family val="0"/>
      </rPr>
      <t>2+</t>
    </r>
  </si>
  <si>
    <r>
      <t>150 PdCl</t>
    </r>
    <r>
      <rPr>
        <vertAlign val="subscript"/>
        <sz val="10"/>
        <rFont val="Arial"/>
        <family val="0"/>
      </rPr>
      <t>6</t>
    </r>
    <r>
      <rPr>
        <vertAlign val="superscript"/>
        <sz val="10"/>
        <rFont val="Arial"/>
        <family val="0"/>
      </rPr>
      <t>2-</t>
    </r>
  </si>
  <si>
    <r>
      <t>151 W</t>
    </r>
    <r>
      <rPr>
        <vertAlign val="subscript"/>
        <sz val="10"/>
        <rFont val="Arial"/>
        <family val="0"/>
      </rPr>
      <t>2</t>
    </r>
    <r>
      <rPr>
        <sz val="10"/>
        <rFont val="Arial"/>
        <family val="0"/>
      </rPr>
      <t>(CO)</t>
    </r>
    <r>
      <rPr>
        <vertAlign val="subscript"/>
        <sz val="10"/>
        <rFont val="Arial"/>
        <family val="0"/>
      </rPr>
      <t>10</t>
    </r>
    <r>
      <rPr>
        <sz val="10"/>
        <rFont val="Arial"/>
        <family val="0"/>
      </rPr>
      <t>Se</t>
    </r>
    <r>
      <rPr>
        <vertAlign val="subscript"/>
        <sz val="10"/>
        <rFont val="Arial"/>
        <family val="0"/>
      </rPr>
      <t>4</t>
    </r>
    <r>
      <rPr>
        <vertAlign val="superscript"/>
        <sz val="10"/>
        <rFont val="Arial"/>
        <family val="0"/>
      </rPr>
      <t>2+</t>
    </r>
  </si>
  <si>
    <r>
      <t>151 PdF</t>
    </r>
    <r>
      <rPr>
        <vertAlign val="subscript"/>
        <sz val="10"/>
        <rFont val="Arial"/>
        <family val="0"/>
      </rPr>
      <t>6</t>
    </r>
    <r>
      <rPr>
        <vertAlign val="superscript"/>
        <sz val="10"/>
        <rFont val="Arial"/>
        <family val="0"/>
      </rPr>
      <t>2-</t>
    </r>
  </si>
  <si>
    <r>
      <t>152 I</t>
    </r>
    <r>
      <rPr>
        <vertAlign val="subscript"/>
        <sz val="10"/>
        <rFont val="Arial"/>
        <family val="0"/>
      </rPr>
      <t>15</t>
    </r>
    <r>
      <rPr>
        <vertAlign val="superscript"/>
        <sz val="10"/>
        <rFont val="Arial"/>
        <family val="0"/>
      </rPr>
      <t>3+</t>
    </r>
  </si>
  <si>
    <r>
      <t>152 PoBr</t>
    </r>
    <r>
      <rPr>
        <vertAlign val="subscript"/>
        <sz val="10"/>
        <rFont val="Arial"/>
        <family val="0"/>
      </rPr>
      <t>6</t>
    </r>
    <r>
      <rPr>
        <vertAlign val="superscript"/>
        <sz val="10"/>
        <rFont val="Arial"/>
        <family val="0"/>
      </rPr>
      <t>2-</t>
    </r>
  </si>
  <si>
    <r>
      <t>153 Se</t>
    </r>
    <r>
      <rPr>
        <vertAlign val="subscript"/>
        <sz val="10"/>
        <rFont val="Arial"/>
        <family val="0"/>
      </rPr>
      <t>3</t>
    </r>
    <r>
      <rPr>
        <sz val="10"/>
        <rFont val="Arial"/>
        <family val="0"/>
      </rPr>
      <t>N</t>
    </r>
    <r>
      <rPr>
        <vertAlign val="superscript"/>
        <sz val="10"/>
        <rFont val="Arial"/>
        <family val="0"/>
      </rPr>
      <t>2+</t>
    </r>
  </si>
  <si>
    <r>
      <t>153 PoI</t>
    </r>
    <r>
      <rPr>
        <vertAlign val="subscript"/>
        <sz val="10"/>
        <rFont val="Arial"/>
        <family val="0"/>
      </rPr>
      <t>6</t>
    </r>
    <r>
      <rPr>
        <vertAlign val="superscript"/>
        <sz val="10"/>
        <rFont val="Arial"/>
        <family val="0"/>
      </rPr>
      <t>2-</t>
    </r>
  </si>
  <si>
    <r>
      <t>154 SeS</t>
    </r>
    <r>
      <rPr>
        <vertAlign val="subscript"/>
        <sz val="10"/>
        <rFont val="Arial"/>
        <family val="0"/>
      </rPr>
      <t>2</t>
    </r>
    <r>
      <rPr>
        <sz val="10"/>
        <rFont val="Arial"/>
        <family val="0"/>
      </rPr>
      <t>N</t>
    </r>
    <r>
      <rPr>
        <vertAlign val="superscript"/>
        <sz val="10"/>
        <rFont val="Arial"/>
        <family val="0"/>
      </rPr>
      <t>2+</t>
    </r>
  </si>
  <si>
    <r>
      <t>154 Pt(NO</t>
    </r>
    <r>
      <rPr>
        <vertAlign val="subscript"/>
        <sz val="10"/>
        <rFont val="Arial"/>
        <family val="0"/>
      </rPr>
      <t>2</t>
    </r>
    <r>
      <rPr>
        <sz val="10"/>
        <rFont val="Arial"/>
        <family val="0"/>
      </rPr>
      <t>)</t>
    </r>
    <r>
      <rPr>
        <vertAlign val="subscript"/>
        <sz val="10"/>
        <rFont val="Arial"/>
        <family val="0"/>
      </rPr>
      <t>3</t>
    </r>
    <r>
      <rPr>
        <sz val="10"/>
        <rFont val="Arial"/>
        <family val="0"/>
      </rPr>
      <t>Cl</t>
    </r>
    <r>
      <rPr>
        <vertAlign val="subscript"/>
        <sz val="10"/>
        <rFont val="Arial"/>
        <family val="0"/>
      </rPr>
      <t>3</t>
    </r>
    <r>
      <rPr>
        <vertAlign val="superscript"/>
        <sz val="10"/>
        <rFont val="Arial"/>
        <family val="0"/>
      </rPr>
      <t>2-</t>
    </r>
  </si>
  <si>
    <r>
      <t>155 Te</t>
    </r>
    <r>
      <rPr>
        <vertAlign val="subscript"/>
        <sz val="10"/>
        <rFont val="Arial"/>
        <family val="0"/>
      </rPr>
      <t>2</t>
    </r>
    <r>
      <rPr>
        <sz val="10"/>
        <rFont val="Arial"/>
        <family val="0"/>
      </rPr>
      <t>(su)</t>
    </r>
    <r>
      <rPr>
        <vertAlign val="subscript"/>
        <sz val="10"/>
        <rFont val="Arial"/>
        <family val="0"/>
      </rPr>
      <t>6</t>
    </r>
    <r>
      <rPr>
        <vertAlign val="superscript"/>
        <sz val="10"/>
        <rFont val="Arial"/>
        <family val="0"/>
      </rPr>
      <t>4+</t>
    </r>
  </si>
  <si>
    <r>
      <t>155 Pt(NO</t>
    </r>
    <r>
      <rPr>
        <vertAlign val="subscript"/>
        <sz val="10"/>
        <rFont val="Arial"/>
        <family val="0"/>
      </rPr>
      <t>2</t>
    </r>
    <r>
      <rPr>
        <sz val="10"/>
        <rFont val="Arial"/>
        <family val="0"/>
      </rPr>
      <t>)</t>
    </r>
    <r>
      <rPr>
        <vertAlign val="subscript"/>
        <sz val="10"/>
        <rFont val="Arial"/>
        <family val="0"/>
      </rPr>
      <t>4</t>
    </r>
    <r>
      <rPr>
        <sz val="10"/>
        <rFont val="Arial"/>
        <family val="0"/>
      </rPr>
      <t>Cl</t>
    </r>
    <r>
      <rPr>
        <vertAlign val="subscript"/>
        <sz val="10"/>
        <rFont val="Arial"/>
        <family val="0"/>
      </rPr>
      <t>2</t>
    </r>
    <r>
      <rPr>
        <vertAlign val="superscript"/>
        <sz val="10"/>
        <rFont val="Arial"/>
        <family val="0"/>
      </rPr>
      <t>2-</t>
    </r>
  </si>
  <si>
    <r>
      <t>156 Pt(OH)</t>
    </r>
    <r>
      <rPr>
        <vertAlign val="subscript"/>
        <sz val="10"/>
        <rFont val="Arial"/>
        <family val="0"/>
      </rPr>
      <t>2</t>
    </r>
    <r>
      <rPr>
        <vertAlign val="superscript"/>
        <sz val="10"/>
        <rFont val="Arial"/>
        <family val="0"/>
      </rPr>
      <t>2-</t>
    </r>
  </si>
  <si>
    <r>
      <t>156 Ag</t>
    </r>
    <r>
      <rPr>
        <vertAlign val="superscript"/>
        <sz val="10"/>
        <rFont val="Arial"/>
        <family val="2"/>
      </rPr>
      <t>+</t>
    </r>
  </si>
  <si>
    <r>
      <t>157 Pt(SCN)</t>
    </r>
    <r>
      <rPr>
        <vertAlign val="subscript"/>
        <sz val="10"/>
        <rFont val="Arial"/>
        <family val="0"/>
      </rPr>
      <t>6</t>
    </r>
    <r>
      <rPr>
        <vertAlign val="superscript"/>
        <sz val="10"/>
        <rFont val="Arial"/>
        <family val="0"/>
      </rPr>
      <t>2-</t>
    </r>
  </si>
  <si>
    <r>
      <t>157 Al</t>
    </r>
    <r>
      <rPr>
        <vertAlign val="superscript"/>
        <sz val="10"/>
        <rFont val="Arial"/>
        <family val="2"/>
      </rPr>
      <t>3+</t>
    </r>
  </si>
  <si>
    <r>
      <t>158 PtBr</t>
    </r>
    <r>
      <rPr>
        <vertAlign val="subscript"/>
        <sz val="10"/>
        <rFont val="Arial"/>
        <family val="0"/>
      </rPr>
      <t>4</t>
    </r>
    <r>
      <rPr>
        <vertAlign val="superscript"/>
        <sz val="10"/>
        <rFont val="Arial"/>
        <family val="0"/>
      </rPr>
      <t>2-</t>
    </r>
  </si>
  <si>
    <r>
      <t>158 As</t>
    </r>
    <r>
      <rPr>
        <vertAlign val="superscript"/>
        <sz val="10"/>
        <rFont val="Arial"/>
        <family val="2"/>
      </rPr>
      <t>3+</t>
    </r>
  </si>
  <si>
    <r>
      <t>159 PtBr</t>
    </r>
    <r>
      <rPr>
        <vertAlign val="subscript"/>
        <sz val="10"/>
        <rFont val="Arial"/>
        <family val="0"/>
      </rPr>
      <t>6</t>
    </r>
    <r>
      <rPr>
        <vertAlign val="superscript"/>
        <sz val="10"/>
        <rFont val="Arial"/>
        <family val="0"/>
      </rPr>
      <t>2-</t>
    </r>
  </si>
  <si>
    <r>
      <t>159 Ba</t>
    </r>
    <r>
      <rPr>
        <vertAlign val="superscript"/>
        <sz val="10"/>
        <rFont val="Arial"/>
        <family val="2"/>
      </rPr>
      <t>2+</t>
    </r>
  </si>
  <si>
    <r>
      <t>160 PtCl</t>
    </r>
    <r>
      <rPr>
        <vertAlign val="subscript"/>
        <sz val="10"/>
        <rFont val="Arial"/>
        <family val="0"/>
      </rPr>
      <t>4</t>
    </r>
    <r>
      <rPr>
        <vertAlign val="superscript"/>
        <sz val="10"/>
        <rFont val="Arial"/>
        <family val="0"/>
      </rPr>
      <t>2-</t>
    </r>
  </si>
  <si>
    <r>
      <t>160 Be</t>
    </r>
    <r>
      <rPr>
        <vertAlign val="superscript"/>
        <sz val="10"/>
        <rFont val="Arial"/>
        <family val="2"/>
      </rPr>
      <t>2+</t>
    </r>
  </si>
  <si>
    <r>
      <t>161 PtCl</t>
    </r>
    <r>
      <rPr>
        <vertAlign val="subscript"/>
        <sz val="10"/>
        <rFont val="Arial"/>
        <family val="0"/>
      </rPr>
      <t>6</t>
    </r>
    <r>
      <rPr>
        <vertAlign val="superscript"/>
        <sz val="10"/>
        <rFont val="Arial"/>
        <family val="0"/>
      </rPr>
      <t>2-</t>
    </r>
  </si>
  <si>
    <r>
      <t>161 Ca</t>
    </r>
    <r>
      <rPr>
        <vertAlign val="superscript"/>
        <sz val="10"/>
        <rFont val="Arial"/>
        <family val="2"/>
      </rPr>
      <t>2+</t>
    </r>
  </si>
  <si>
    <r>
      <t>162 PtF</t>
    </r>
    <r>
      <rPr>
        <vertAlign val="subscript"/>
        <sz val="10"/>
        <rFont val="Arial"/>
        <family val="0"/>
      </rPr>
      <t>6</t>
    </r>
    <r>
      <rPr>
        <vertAlign val="superscript"/>
        <sz val="10"/>
        <rFont val="Arial"/>
        <family val="0"/>
      </rPr>
      <t>2-</t>
    </r>
  </si>
  <si>
    <r>
      <t>162 Cd</t>
    </r>
    <r>
      <rPr>
        <vertAlign val="superscript"/>
        <sz val="10"/>
        <rFont val="Arial"/>
        <family val="2"/>
      </rPr>
      <t>2+</t>
    </r>
  </si>
  <si>
    <r>
      <t>163 PuCl</t>
    </r>
    <r>
      <rPr>
        <vertAlign val="subscript"/>
        <sz val="10"/>
        <rFont val="Arial"/>
        <family val="0"/>
      </rPr>
      <t>6</t>
    </r>
    <r>
      <rPr>
        <vertAlign val="superscript"/>
        <sz val="10"/>
        <rFont val="Arial"/>
        <family val="0"/>
      </rPr>
      <t>2-</t>
    </r>
  </si>
  <si>
    <r>
      <t>163 Ce</t>
    </r>
    <r>
      <rPr>
        <vertAlign val="superscript"/>
        <sz val="10"/>
        <rFont val="Arial"/>
        <family val="2"/>
      </rPr>
      <t>3+</t>
    </r>
  </si>
  <si>
    <r>
      <t>164 ReBr</t>
    </r>
    <r>
      <rPr>
        <vertAlign val="subscript"/>
        <sz val="10"/>
        <rFont val="Arial"/>
        <family val="0"/>
      </rPr>
      <t>6</t>
    </r>
    <r>
      <rPr>
        <vertAlign val="superscript"/>
        <sz val="10"/>
        <rFont val="Arial"/>
        <family val="0"/>
      </rPr>
      <t>2-</t>
    </r>
  </si>
  <si>
    <r>
      <t>164 Ce</t>
    </r>
    <r>
      <rPr>
        <vertAlign val="superscript"/>
        <sz val="10"/>
        <rFont val="Arial"/>
        <family val="2"/>
      </rPr>
      <t>4+</t>
    </r>
  </si>
  <si>
    <r>
      <t>165 ReCl</t>
    </r>
    <r>
      <rPr>
        <vertAlign val="subscript"/>
        <sz val="10"/>
        <rFont val="Arial"/>
        <family val="0"/>
      </rPr>
      <t>6</t>
    </r>
    <r>
      <rPr>
        <vertAlign val="superscript"/>
        <sz val="10"/>
        <rFont val="Arial"/>
        <family val="0"/>
      </rPr>
      <t>2-</t>
    </r>
  </si>
  <si>
    <r>
      <t>165 Co</t>
    </r>
    <r>
      <rPr>
        <vertAlign val="superscript"/>
        <sz val="10"/>
        <rFont val="Arial"/>
        <family val="2"/>
      </rPr>
      <t>2+</t>
    </r>
  </si>
  <si>
    <r>
      <t>166 ReF</t>
    </r>
    <r>
      <rPr>
        <vertAlign val="subscript"/>
        <sz val="10"/>
        <rFont val="Arial"/>
        <family val="0"/>
      </rPr>
      <t>6</t>
    </r>
    <r>
      <rPr>
        <vertAlign val="superscript"/>
        <sz val="10"/>
        <rFont val="Arial"/>
        <family val="0"/>
      </rPr>
      <t>2-</t>
    </r>
  </si>
  <si>
    <r>
      <t>166 Co</t>
    </r>
    <r>
      <rPr>
        <vertAlign val="superscript"/>
        <sz val="10"/>
        <rFont val="Arial"/>
        <family val="2"/>
      </rPr>
      <t>3+</t>
    </r>
  </si>
  <si>
    <r>
      <t>167 ReF</t>
    </r>
    <r>
      <rPr>
        <vertAlign val="subscript"/>
        <sz val="10"/>
        <rFont val="Arial"/>
        <family val="0"/>
      </rPr>
      <t>8</t>
    </r>
    <r>
      <rPr>
        <vertAlign val="superscript"/>
        <sz val="10"/>
        <rFont val="Arial"/>
        <family val="0"/>
      </rPr>
      <t>2-</t>
    </r>
  </si>
  <si>
    <r>
      <t>167 Cr</t>
    </r>
    <r>
      <rPr>
        <vertAlign val="superscript"/>
        <sz val="10"/>
        <rFont val="Arial"/>
        <family val="2"/>
      </rPr>
      <t>2+</t>
    </r>
  </si>
  <si>
    <r>
      <t>168 ReH</t>
    </r>
    <r>
      <rPr>
        <vertAlign val="subscript"/>
        <sz val="10"/>
        <rFont val="Arial"/>
        <family val="0"/>
      </rPr>
      <t>9</t>
    </r>
    <r>
      <rPr>
        <vertAlign val="superscript"/>
        <sz val="10"/>
        <rFont val="Arial"/>
        <family val="0"/>
      </rPr>
      <t>2-</t>
    </r>
  </si>
  <si>
    <r>
      <t>168 Cr</t>
    </r>
    <r>
      <rPr>
        <vertAlign val="superscript"/>
        <sz val="10"/>
        <rFont val="Arial"/>
        <family val="2"/>
      </rPr>
      <t>3+</t>
    </r>
  </si>
  <si>
    <r>
      <t>169 ReI</t>
    </r>
    <r>
      <rPr>
        <vertAlign val="subscript"/>
        <sz val="10"/>
        <rFont val="Arial"/>
        <family val="0"/>
      </rPr>
      <t>6</t>
    </r>
    <r>
      <rPr>
        <vertAlign val="superscript"/>
        <sz val="10"/>
        <rFont val="Arial"/>
        <family val="0"/>
      </rPr>
      <t>2-</t>
    </r>
  </si>
  <si>
    <r>
      <t>169 Cs</t>
    </r>
    <r>
      <rPr>
        <vertAlign val="superscript"/>
        <sz val="10"/>
        <rFont val="Arial"/>
        <family val="2"/>
      </rPr>
      <t>+</t>
    </r>
  </si>
  <si>
    <r>
      <t>170 RhF</t>
    </r>
    <r>
      <rPr>
        <vertAlign val="subscript"/>
        <sz val="10"/>
        <rFont val="Arial"/>
        <family val="0"/>
      </rPr>
      <t>6</t>
    </r>
    <r>
      <rPr>
        <vertAlign val="superscript"/>
        <sz val="10"/>
        <rFont val="Arial"/>
        <family val="0"/>
      </rPr>
      <t>2-</t>
    </r>
  </si>
  <si>
    <r>
      <t>170 Dy</t>
    </r>
    <r>
      <rPr>
        <vertAlign val="superscript"/>
        <sz val="10"/>
        <rFont val="Arial"/>
        <family val="2"/>
      </rPr>
      <t>3+</t>
    </r>
  </si>
  <si>
    <r>
      <t>171 RuCl</t>
    </r>
    <r>
      <rPr>
        <vertAlign val="subscript"/>
        <sz val="10"/>
        <rFont val="Arial"/>
        <family val="0"/>
      </rPr>
      <t>6</t>
    </r>
    <r>
      <rPr>
        <vertAlign val="superscript"/>
        <sz val="10"/>
        <rFont val="Arial"/>
        <family val="0"/>
      </rPr>
      <t>2-</t>
    </r>
  </si>
  <si>
    <r>
      <t>171 Er</t>
    </r>
    <r>
      <rPr>
        <vertAlign val="superscript"/>
        <sz val="10"/>
        <rFont val="Arial"/>
        <family val="2"/>
      </rPr>
      <t>3+</t>
    </r>
  </si>
  <si>
    <r>
      <t>172 RuF</t>
    </r>
    <r>
      <rPr>
        <vertAlign val="subscript"/>
        <sz val="10"/>
        <rFont val="Arial"/>
        <family val="0"/>
      </rPr>
      <t>6</t>
    </r>
    <r>
      <rPr>
        <vertAlign val="superscript"/>
        <sz val="10"/>
        <rFont val="Arial"/>
        <family val="0"/>
      </rPr>
      <t>2-</t>
    </r>
  </si>
  <si>
    <r>
      <t>172 Eu</t>
    </r>
    <r>
      <rPr>
        <vertAlign val="superscript"/>
        <sz val="10"/>
        <rFont val="Arial"/>
        <family val="2"/>
      </rPr>
      <t>2+</t>
    </r>
  </si>
  <si>
    <r>
      <t>173 S</t>
    </r>
    <r>
      <rPr>
        <vertAlign val="superscript"/>
        <sz val="10"/>
        <rFont val="Arial"/>
        <family val="0"/>
      </rPr>
      <t>2-</t>
    </r>
  </si>
  <si>
    <r>
      <t>173 Fe</t>
    </r>
    <r>
      <rPr>
        <vertAlign val="superscript"/>
        <sz val="10"/>
        <rFont val="Arial"/>
        <family val="2"/>
      </rPr>
      <t>2+</t>
    </r>
  </si>
  <si>
    <r>
      <t>174 S</t>
    </r>
    <r>
      <rPr>
        <vertAlign val="subscript"/>
        <sz val="10"/>
        <rFont val="Arial"/>
        <family val="0"/>
      </rPr>
      <t>2</t>
    </r>
    <r>
      <rPr>
        <sz val="10"/>
        <rFont val="Arial"/>
        <family val="0"/>
      </rPr>
      <t>O</t>
    </r>
    <r>
      <rPr>
        <vertAlign val="subscript"/>
        <sz val="10"/>
        <rFont val="Arial"/>
        <family val="0"/>
      </rPr>
      <t>3</t>
    </r>
    <r>
      <rPr>
        <vertAlign val="superscript"/>
        <sz val="10"/>
        <rFont val="Arial"/>
        <family val="0"/>
      </rPr>
      <t>2-</t>
    </r>
  </si>
  <si>
    <r>
      <t>174 Fe</t>
    </r>
    <r>
      <rPr>
        <vertAlign val="superscript"/>
        <sz val="10"/>
        <rFont val="Arial"/>
        <family val="2"/>
      </rPr>
      <t>3+</t>
    </r>
  </si>
  <si>
    <r>
      <t>175 S</t>
    </r>
    <r>
      <rPr>
        <vertAlign val="subscript"/>
        <sz val="10"/>
        <rFont val="Arial"/>
        <family val="0"/>
      </rPr>
      <t>2</t>
    </r>
    <r>
      <rPr>
        <sz val="10"/>
        <rFont val="Arial"/>
        <family val="0"/>
      </rPr>
      <t>O</t>
    </r>
    <r>
      <rPr>
        <vertAlign val="subscript"/>
        <sz val="10"/>
        <rFont val="Arial"/>
        <family val="0"/>
      </rPr>
      <t>4</t>
    </r>
    <r>
      <rPr>
        <vertAlign val="superscript"/>
        <sz val="10"/>
        <rFont val="Arial"/>
        <family val="0"/>
      </rPr>
      <t>2-</t>
    </r>
  </si>
  <si>
    <r>
      <t>175 Ga</t>
    </r>
    <r>
      <rPr>
        <vertAlign val="superscript"/>
        <sz val="10"/>
        <rFont val="Arial"/>
        <family val="2"/>
      </rPr>
      <t>3+</t>
    </r>
  </si>
  <si>
    <r>
      <t>176 S</t>
    </r>
    <r>
      <rPr>
        <vertAlign val="subscript"/>
        <sz val="10"/>
        <rFont val="Arial"/>
        <family val="0"/>
      </rPr>
      <t>2</t>
    </r>
    <r>
      <rPr>
        <sz val="10"/>
        <rFont val="Arial"/>
        <family val="0"/>
      </rPr>
      <t>O</t>
    </r>
    <r>
      <rPr>
        <vertAlign val="subscript"/>
        <sz val="10"/>
        <rFont val="Arial"/>
        <family val="0"/>
      </rPr>
      <t>5</t>
    </r>
    <r>
      <rPr>
        <vertAlign val="superscript"/>
        <sz val="10"/>
        <rFont val="Arial"/>
        <family val="0"/>
      </rPr>
      <t>2-</t>
    </r>
  </si>
  <si>
    <r>
      <t>176 Gd</t>
    </r>
    <r>
      <rPr>
        <vertAlign val="superscript"/>
        <sz val="10"/>
        <rFont val="Arial"/>
        <family val="2"/>
      </rPr>
      <t>3+</t>
    </r>
  </si>
  <si>
    <r>
      <t>177 S</t>
    </r>
    <r>
      <rPr>
        <vertAlign val="subscript"/>
        <sz val="10"/>
        <rFont val="Arial"/>
        <family val="0"/>
      </rPr>
      <t>2</t>
    </r>
    <r>
      <rPr>
        <sz val="10"/>
        <rFont val="Arial"/>
        <family val="0"/>
      </rPr>
      <t>O</t>
    </r>
    <r>
      <rPr>
        <vertAlign val="subscript"/>
        <sz val="10"/>
        <rFont val="Arial"/>
        <family val="0"/>
      </rPr>
      <t>6</t>
    </r>
    <r>
      <rPr>
        <vertAlign val="superscript"/>
        <sz val="10"/>
        <rFont val="Arial"/>
        <family val="0"/>
      </rPr>
      <t>2-</t>
    </r>
  </si>
  <si>
    <r>
      <t>177 Ge</t>
    </r>
    <r>
      <rPr>
        <vertAlign val="superscript"/>
        <sz val="10"/>
        <rFont val="Arial"/>
        <family val="2"/>
      </rPr>
      <t>2+</t>
    </r>
  </si>
  <si>
    <r>
      <t>178 S</t>
    </r>
    <r>
      <rPr>
        <vertAlign val="subscript"/>
        <sz val="10"/>
        <rFont val="Arial"/>
        <family val="0"/>
      </rPr>
      <t>2</t>
    </r>
    <r>
      <rPr>
        <sz val="10"/>
        <rFont val="Arial"/>
        <family val="0"/>
      </rPr>
      <t>O</t>
    </r>
    <r>
      <rPr>
        <vertAlign val="subscript"/>
        <sz val="10"/>
        <rFont val="Arial"/>
        <family val="0"/>
      </rPr>
      <t>7</t>
    </r>
    <r>
      <rPr>
        <vertAlign val="superscript"/>
        <sz val="10"/>
        <rFont val="Arial"/>
        <family val="0"/>
      </rPr>
      <t>2-</t>
    </r>
  </si>
  <si>
    <r>
      <t>178 Hf</t>
    </r>
    <r>
      <rPr>
        <vertAlign val="superscript"/>
        <sz val="10"/>
        <rFont val="Arial"/>
        <family val="2"/>
      </rPr>
      <t>4+</t>
    </r>
  </si>
  <si>
    <r>
      <t>179 S</t>
    </r>
    <r>
      <rPr>
        <vertAlign val="subscript"/>
        <sz val="10"/>
        <rFont val="Arial"/>
        <family val="0"/>
      </rPr>
      <t>2</t>
    </r>
    <r>
      <rPr>
        <sz val="10"/>
        <rFont val="Arial"/>
        <family val="0"/>
      </rPr>
      <t>O</t>
    </r>
    <r>
      <rPr>
        <vertAlign val="subscript"/>
        <sz val="10"/>
        <rFont val="Arial"/>
        <family val="0"/>
      </rPr>
      <t>8</t>
    </r>
    <r>
      <rPr>
        <vertAlign val="superscript"/>
        <sz val="10"/>
        <rFont val="Arial"/>
        <family val="0"/>
      </rPr>
      <t>2-</t>
    </r>
  </si>
  <si>
    <r>
      <t>179 Hg</t>
    </r>
    <r>
      <rPr>
        <vertAlign val="superscript"/>
        <sz val="10"/>
        <rFont val="Arial"/>
        <family val="2"/>
      </rPr>
      <t>2+</t>
    </r>
  </si>
  <si>
    <r>
      <t>180 S</t>
    </r>
    <r>
      <rPr>
        <vertAlign val="subscript"/>
        <sz val="10"/>
        <rFont val="Arial"/>
        <family val="0"/>
      </rPr>
      <t>3</t>
    </r>
    <r>
      <rPr>
        <sz val="10"/>
        <rFont val="Arial"/>
        <family val="0"/>
      </rPr>
      <t>O</t>
    </r>
    <r>
      <rPr>
        <vertAlign val="subscript"/>
        <sz val="10"/>
        <rFont val="Arial"/>
        <family val="0"/>
      </rPr>
      <t>6</t>
    </r>
    <r>
      <rPr>
        <vertAlign val="superscript"/>
        <sz val="10"/>
        <rFont val="Arial"/>
        <family val="0"/>
      </rPr>
      <t>2-</t>
    </r>
  </si>
  <si>
    <r>
      <t>180 Ho</t>
    </r>
    <r>
      <rPr>
        <vertAlign val="superscript"/>
        <sz val="10"/>
        <rFont val="Arial"/>
        <family val="2"/>
      </rPr>
      <t>3+</t>
    </r>
  </si>
  <si>
    <r>
      <t>181 S</t>
    </r>
    <r>
      <rPr>
        <vertAlign val="subscript"/>
        <sz val="10"/>
        <rFont val="Arial"/>
        <family val="0"/>
      </rPr>
      <t>4</t>
    </r>
    <r>
      <rPr>
        <sz val="10"/>
        <rFont val="Arial"/>
        <family val="0"/>
      </rPr>
      <t>O</t>
    </r>
    <r>
      <rPr>
        <vertAlign val="subscript"/>
        <sz val="10"/>
        <rFont val="Arial"/>
        <family val="0"/>
      </rPr>
      <t>6</t>
    </r>
    <r>
      <rPr>
        <vertAlign val="superscript"/>
        <sz val="10"/>
        <rFont val="Arial"/>
        <family val="0"/>
      </rPr>
      <t>2-</t>
    </r>
  </si>
  <si>
    <r>
      <t>181 In</t>
    </r>
    <r>
      <rPr>
        <vertAlign val="superscript"/>
        <sz val="10"/>
        <rFont val="Arial"/>
        <family val="2"/>
      </rPr>
      <t>3+</t>
    </r>
  </si>
  <si>
    <r>
      <t>182 S</t>
    </r>
    <r>
      <rPr>
        <vertAlign val="subscript"/>
        <sz val="10"/>
        <rFont val="Arial"/>
        <family val="0"/>
      </rPr>
      <t>6</t>
    </r>
    <r>
      <rPr>
        <sz val="10"/>
        <rFont val="Arial"/>
        <family val="0"/>
      </rPr>
      <t>O</t>
    </r>
    <r>
      <rPr>
        <vertAlign val="subscript"/>
        <sz val="10"/>
        <rFont val="Arial"/>
        <family val="0"/>
      </rPr>
      <t>6</t>
    </r>
    <r>
      <rPr>
        <vertAlign val="superscript"/>
        <sz val="10"/>
        <rFont val="Arial"/>
        <family val="0"/>
      </rPr>
      <t>2-</t>
    </r>
  </si>
  <si>
    <r>
      <t>182 Ir</t>
    </r>
    <r>
      <rPr>
        <vertAlign val="superscript"/>
        <sz val="10"/>
        <rFont val="Arial"/>
        <family val="2"/>
      </rPr>
      <t>4+</t>
    </r>
  </si>
  <si>
    <r>
      <t>183 SbBr</t>
    </r>
    <r>
      <rPr>
        <vertAlign val="subscript"/>
        <sz val="10"/>
        <rFont val="Arial"/>
        <family val="0"/>
      </rPr>
      <t>6</t>
    </r>
    <r>
      <rPr>
        <vertAlign val="superscript"/>
        <sz val="10"/>
        <rFont val="Arial"/>
        <family val="0"/>
      </rPr>
      <t>2-</t>
    </r>
  </si>
  <si>
    <r>
      <t>183 K</t>
    </r>
    <r>
      <rPr>
        <vertAlign val="superscript"/>
        <sz val="10"/>
        <rFont val="Arial"/>
        <family val="2"/>
      </rPr>
      <t>+</t>
    </r>
  </si>
  <si>
    <r>
      <t>184 ScF</t>
    </r>
    <r>
      <rPr>
        <vertAlign val="subscript"/>
        <sz val="10"/>
        <rFont val="Arial"/>
        <family val="0"/>
      </rPr>
      <t>6</t>
    </r>
    <r>
      <rPr>
        <vertAlign val="superscript"/>
        <sz val="10"/>
        <rFont val="Arial"/>
        <family val="0"/>
      </rPr>
      <t>2-</t>
    </r>
  </si>
  <si>
    <r>
      <t>184 La</t>
    </r>
    <r>
      <rPr>
        <vertAlign val="superscript"/>
        <sz val="10"/>
        <rFont val="Arial"/>
        <family val="2"/>
      </rPr>
      <t>3+</t>
    </r>
  </si>
  <si>
    <r>
      <t>185 Se</t>
    </r>
    <r>
      <rPr>
        <vertAlign val="superscript"/>
        <sz val="10"/>
        <rFont val="Arial"/>
        <family val="0"/>
      </rPr>
      <t>2-</t>
    </r>
  </si>
  <si>
    <r>
      <t>185 Li</t>
    </r>
    <r>
      <rPr>
        <vertAlign val="superscript"/>
        <sz val="10"/>
        <rFont val="Arial"/>
        <family val="2"/>
      </rPr>
      <t>+</t>
    </r>
  </si>
  <si>
    <r>
      <t>186 SeBr</t>
    </r>
    <r>
      <rPr>
        <vertAlign val="subscript"/>
        <sz val="10"/>
        <rFont val="Arial"/>
        <family val="0"/>
      </rPr>
      <t>6</t>
    </r>
    <r>
      <rPr>
        <vertAlign val="superscript"/>
        <sz val="10"/>
        <rFont val="Arial"/>
        <family val="0"/>
      </rPr>
      <t>2-</t>
    </r>
  </si>
  <si>
    <r>
      <t>186 Lu</t>
    </r>
    <r>
      <rPr>
        <vertAlign val="superscript"/>
        <sz val="10"/>
        <rFont val="Arial"/>
        <family val="2"/>
      </rPr>
      <t>3+</t>
    </r>
  </si>
  <si>
    <r>
      <t>187 SeCl</t>
    </r>
    <r>
      <rPr>
        <vertAlign val="subscript"/>
        <sz val="10"/>
        <rFont val="Arial"/>
        <family val="0"/>
      </rPr>
      <t>6</t>
    </r>
    <r>
      <rPr>
        <vertAlign val="superscript"/>
        <sz val="10"/>
        <rFont val="Arial"/>
        <family val="0"/>
      </rPr>
      <t>2-</t>
    </r>
  </si>
  <si>
    <r>
      <t>187 Mg</t>
    </r>
    <r>
      <rPr>
        <vertAlign val="superscript"/>
        <sz val="10"/>
        <rFont val="Arial"/>
        <family val="2"/>
      </rPr>
      <t>2+</t>
    </r>
  </si>
  <si>
    <r>
      <t>188 SeO</t>
    </r>
    <r>
      <rPr>
        <vertAlign val="subscript"/>
        <sz val="10"/>
        <rFont val="Arial"/>
        <family val="0"/>
      </rPr>
      <t>4</t>
    </r>
    <r>
      <rPr>
        <vertAlign val="superscript"/>
        <sz val="10"/>
        <rFont val="Arial"/>
        <family val="0"/>
      </rPr>
      <t>2-</t>
    </r>
  </si>
  <si>
    <r>
      <t>188 Mn</t>
    </r>
    <r>
      <rPr>
        <vertAlign val="superscript"/>
        <sz val="10"/>
        <rFont val="Arial"/>
        <family val="2"/>
      </rPr>
      <t>2+</t>
    </r>
  </si>
  <si>
    <r>
      <t>189 SiF</t>
    </r>
    <r>
      <rPr>
        <vertAlign val="subscript"/>
        <sz val="10"/>
        <rFont val="Arial"/>
        <family val="0"/>
      </rPr>
      <t>6</t>
    </r>
    <r>
      <rPr>
        <vertAlign val="superscript"/>
        <sz val="10"/>
        <rFont val="Arial"/>
        <family val="0"/>
      </rPr>
      <t>2-</t>
    </r>
  </si>
  <si>
    <r>
      <t>189 Mn</t>
    </r>
    <r>
      <rPr>
        <vertAlign val="superscript"/>
        <sz val="10"/>
        <rFont val="Arial"/>
        <family val="2"/>
      </rPr>
      <t>3+</t>
    </r>
  </si>
  <si>
    <r>
      <t>190 SiO</t>
    </r>
    <r>
      <rPr>
        <vertAlign val="subscript"/>
        <sz val="10"/>
        <rFont val="Arial"/>
        <family val="0"/>
      </rPr>
      <t>3</t>
    </r>
    <r>
      <rPr>
        <vertAlign val="superscript"/>
        <sz val="10"/>
        <rFont val="Arial"/>
        <family val="0"/>
      </rPr>
      <t>2-</t>
    </r>
  </si>
  <si>
    <r>
      <t>190 NH</t>
    </r>
    <r>
      <rPr>
        <vertAlign val="superscript"/>
        <sz val="10"/>
        <rFont val="Arial"/>
        <family val="2"/>
      </rPr>
      <t>+</t>
    </r>
  </si>
  <si>
    <r>
      <t>191 SmF</t>
    </r>
    <r>
      <rPr>
        <vertAlign val="subscript"/>
        <sz val="10"/>
        <rFont val="Arial"/>
        <family val="0"/>
      </rPr>
      <t>4</t>
    </r>
    <r>
      <rPr>
        <vertAlign val="superscript"/>
        <sz val="10"/>
        <rFont val="Arial"/>
        <family val="0"/>
      </rPr>
      <t>2-</t>
    </r>
  </si>
  <si>
    <r>
      <t>191 Na</t>
    </r>
    <r>
      <rPr>
        <vertAlign val="superscript"/>
        <sz val="10"/>
        <rFont val="Arial"/>
        <family val="2"/>
      </rPr>
      <t>+</t>
    </r>
  </si>
  <si>
    <r>
      <t>192 Sn(OH)</t>
    </r>
    <r>
      <rPr>
        <vertAlign val="subscript"/>
        <sz val="10"/>
        <rFont val="Arial"/>
        <family val="0"/>
      </rPr>
      <t>6</t>
    </r>
    <r>
      <rPr>
        <vertAlign val="superscript"/>
        <sz val="10"/>
        <rFont val="Arial"/>
        <family val="0"/>
      </rPr>
      <t>2-</t>
    </r>
  </si>
  <si>
    <r>
      <t>192 Nd</t>
    </r>
    <r>
      <rPr>
        <vertAlign val="superscript"/>
        <sz val="10"/>
        <rFont val="Arial"/>
        <family val="2"/>
      </rPr>
      <t>3+</t>
    </r>
  </si>
  <si>
    <r>
      <t>193 SnBr</t>
    </r>
    <r>
      <rPr>
        <vertAlign val="subscript"/>
        <sz val="10"/>
        <rFont val="Arial"/>
        <family val="0"/>
      </rPr>
      <t>6</t>
    </r>
    <r>
      <rPr>
        <vertAlign val="superscript"/>
        <sz val="10"/>
        <rFont val="Arial"/>
        <family val="0"/>
      </rPr>
      <t>2-</t>
    </r>
  </si>
  <si>
    <r>
      <t>193 Ni</t>
    </r>
    <r>
      <rPr>
        <vertAlign val="superscript"/>
        <sz val="10"/>
        <rFont val="Arial"/>
        <family val="2"/>
      </rPr>
      <t>2+</t>
    </r>
  </si>
  <si>
    <r>
      <t>194 SnCl</t>
    </r>
    <r>
      <rPr>
        <vertAlign val="subscript"/>
        <sz val="10"/>
        <rFont val="Arial"/>
        <family val="0"/>
      </rPr>
      <t>6</t>
    </r>
    <r>
      <rPr>
        <vertAlign val="superscript"/>
        <sz val="10"/>
        <rFont val="Arial"/>
        <family val="0"/>
      </rPr>
      <t>2-</t>
    </r>
  </si>
  <si>
    <r>
      <t>194 Os</t>
    </r>
    <r>
      <rPr>
        <vertAlign val="superscript"/>
        <sz val="10"/>
        <rFont val="Arial"/>
        <family val="2"/>
      </rPr>
      <t>4+</t>
    </r>
  </si>
  <si>
    <r>
      <t>195 SnF</t>
    </r>
    <r>
      <rPr>
        <vertAlign val="subscript"/>
        <sz val="10"/>
        <rFont val="Arial"/>
        <family val="0"/>
      </rPr>
      <t>6</t>
    </r>
    <r>
      <rPr>
        <vertAlign val="superscript"/>
        <sz val="10"/>
        <rFont val="Arial"/>
        <family val="0"/>
      </rPr>
      <t>2-</t>
    </r>
  </si>
  <si>
    <r>
      <t>195 Pb</t>
    </r>
    <r>
      <rPr>
        <vertAlign val="superscript"/>
        <sz val="10"/>
        <rFont val="Arial"/>
        <family val="2"/>
      </rPr>
      <t>2+</t>
    </r>
  </si>
  <si>
    <r>
      <t>196 SnI</t>
    </r>
    <r>
      <rPr>
        <vertAlign val="subscript"/>
        <sz val="10"/>
        <rFont val="Arial"/>
        <family val="0"/>
      </rPr>
      <t>6</t>
    </r>
    <r>
      <rPr>
        <vertAlign val="superscript"/>
        <sz val="10"/>
        <rFont val="Arial"/>
        <family val="0"/>
      </rPr>
      <t>2-</t>
    </r>
  </si>
  <si>
    <r>
      <t>196 Pr</t>
    </r>
    <r>
      <rPr>
        <vertAlign val="superscript"/>
        <sz val="10"/>
        <rFont val="Arial"/>
        <family val="2"/>
      </rPr>
      <t>3+</t>
    </r>
  </si>
  <si>
    <r>
      <t>197 SO</t>
    </r>
    <r>
      <rPr>
        <vertAlign val="subscript"/>
        <sz val="10"/>
        <rFont val="Arial"/>
        <family val="0"/>
      </rPr>
      <t>3</t>
    </r>
    <r>
      <rPr>
        <vertAlign val="superscript"/>
        <sz val="10"/>
        <rFont val="Arial"/>
        <family val="0"/>
      </rPr>
      <t>2-</t>
    </r>
  </si>
  <si>
    <r>
      <t>197 Pr</t>
    </r>
    <r>
      <rPr>
        <vertAlign val="superscript"/>
        <sz val="10"/>
        <rFont val="Arial"/>
        <family val="2"/>
      </rPr>
      <t>4+</t>
    </r>
  </si>
  <si>
    <r>
      <t>198 SO</t>
    </r>
    <r>
      <rPr>
        <vertAlign val="subscript"/>
        <sz val="10"/>
        <rFont val="Arial"/>
        <family val="0"/>
      </rPr>
      <t>4</t>
    </r>
    <r>
      <rPr>
        <vertAlign val="superscript"/>
        <sz val="10"/>
        <rFont val="Arial"/>
        <family val="0"/>
      </rPr>
      <t>2-</t>
    </r>
  </si>
  <si>
    <r>
      <t>198 Ra</t>
    </r>
    <r>
      <rPr>
        <vertAlign val="superscript"/>
        <sz val="10"/>
        <rFont val="Arial"/>
        <family val="2"/>
      </rPr>
      <t>2+</t>
    </r>
  </si>
  <si>
    <r>
      <t>199 TcBr</t>
    </r>
    <r>
      <rPr>
        <vertAlign val="subscript"/>
        <sz val="10"/>
        <rFont val="Arial"/>
        <family val="0"/>
      </rPr>
      <t>6</t>
    </r>
    <r>
      <rPr>
        <vertAlign val="superscript"/>
        <sz val="10"/>
        <rFont val="Arial"/>
        <family val="0"/>
      </rPr>
      <t>2-</t>
    </r>
  </si>
  <si>
    <r>
      <t>199 Rb</t>
    </r>
    <r>
      <rPr>
        <vertAlign val="superscript"/>
        <sz val="10"/>
        <rFont val="Arial"/>
        <family val="2"/>
      </rPr>
      <t>+</t>
    </r>
  </si>
  <si>
    <r>
      <t>200 TcCl</t>
    </r>
    <r>
      <rPr>
        <vertAlign val="subscript"/>
        <sz val="10"/>
        <rFont val="Arial"/>
        <family val="0"/>
      </rPr>
      <t>6</t>
    </r>
    <r>
      <rPr>
        <vertAlign val="superscript"/>
        <sz val="10"/>
        <rFont val="Arial"/>
        <family val="0"/>
      </rPr>
      <t>2-</t>
    </r>
  </si>
  <si>
    <r>
      <t>200 Rh</t>
    </r>
    <r>
      <rPr>
        <vertAlign val="superscript"/>
        <sz val="10"/>
        <rFont val="Arial"/>
        <family val="2"/>
      </rPr>
      <t>3+</t>
    </r>
  </si>
  <si>
    <r>
      <t>201 TcF</t>
    </r>
    <r>
      <rPr>
        <vertAlign val="subscript"/>
        <sz val="10"/>
        <rFont val="Arial"/>
        <family val="0"/>
      </rPr>
      <t>6</t>
    </r>
    <r>
      <rPr>
        <vertAlign val="superscript"/>
        <sz val="10"/>
        <rFont val="Arial"/>
        <family val="0"/>
      </rPr>
      <t>2-</t>
    </r>
  </si>
  <si>
    <r>
      <t>201 Rh</t>
    </r>
    <r>
      <rPr>
        <vertAlign val="superscript"/>
        <sz val="10"/>
        <rFont val="Arial"/>
        <family val="2"/>
      </rPr>
      <t>4+</t>
    </r>
  </si>
  <si>
    <r>
      <t>202 TcH</t>
    </r>
    <r>
      <rPr>
        <vertAlign val="subscript"/>
        <sz val="10"/>
        <rFont val="Arial"/>
        <family val="0"/>
      </rPr>
      <t>9</t>
    </r>
    <r>
      <rPr>
        <vertAlign val="superscript"/>
        <sz val="10"/>
        <rFont val="Arial"/>
        <family val="0"/>
      </rPr>
      <t>2-</t>
    </r>
  </si>
  <si>
    <r>
      <t>202 Sb</t>
    </r>
    <r>
      <rPr>
        <vertAlign val="superscript"/>
        <sz val="10"/>
        <rFont val="Arial"/>
        <family val="2"/>
      </rPr>
      <t>3+</t>
    </r>
  </si>
  <si>
    <r>
      <t>203 TcI</t>
    </r>
    <r>
      <rPr>
        <vertAlign val="subscript"/>
        <sz val="10"/>
        <rFont val="Arial"/>
        <family val="0"/>
      </rPr>
      <t>6</t>
    </r>
    <r>
      <rPr>
        <vertAlign val="superscript"/>
        <sz val="10"/>
        <rFont val="Arial"/>
        <family val="0"/>
      </rPr>
      <t>2-</t>
    </r>
  </si>
  <si>
    <r>
      <t>203 Sc</t>
    </r>
    <r>
      <rPr>
        <vertAlign val="superscript"/>
        <sz val="10"/>
        <rFont val="Arial"/>
        <family val="2"/>
      </rPr>
      <t>3+</t>
    </r>
  </si>
  <si>
    <r>
      <t>204 Te</t>
    </r>
    <r>
      <rPr>
        <vertAlign val="superscript"/>
        <sz val="10"/>
        <rFont val="Arial"/>
        <family val="0"/>
      </rPr>
      <t>2-</t>
    </r>
  </si>
  <si>
    <r>
      <t>204 Sm</t>
    </r>
    <r>
      <rPr>
        <vertAlign val="superscript"/>
        <sz val="10"/>
        <rFont val="Arial"/>
        <family val="2"/>
      </rPr>
      <t>3+</t>
    </r>
  </si>
  <si>
    <r>
      <t>205 TeBr</t>
    </r>
    <r>
      <rPr>
        <vertAlign val="subscript"/>
        <sz val="10"/>
        <rFont val="Arial"/>
        <family val="0"/>
      </rPr>
      <t>6</t>
    </r>
    <r>
      <rPr>
        <vertAlign val="superscript"/>
        <sz val="10"/>
        <rFont val="Arial"/>
        <family val="0"/>
      </rPr>
      <t>2-</t>
    </r>
  </si>
  <si>
    <r>
      <t>205 Sn</t>
    </r>
    <r>
      <rPr>
        <vertAlign val="superscript"/>
        <sz val="10"/>
        <rFont val="Arial"/>
        <family val="2"/>
      </rPr>
      <t>4+</t>
    </r>
  </si>
  <si>
    <r>
      <t>206 TeCl</t>
    </r>
    <r>
      <rPr>
        <vertAlign val="subscript"/>
        <sz val="10"/>
        <rFont val="Arial"/>
        <family val="0"/>
      </rPr>
      <t>6</t>
    </r>
    <r>
      <rPr>
        <vertAlign val="superscript"/>
        <sz val="10"/>
        <rFont val="Arial"/>
        <family val="0"/>
      </rPr>
      <t>2-</t>
    </r>
  </si>
  <si>
    <r>
      <t>206 Sr</t>
    </r>
    <r>
      <rPr>
        <vertAlign val="superscript"/>
        <sz val="10"/>
        <rFont val="Arial"/>
        <family val="2"/>
      </rPr>
      <t>2+</t>
    </r>
  </si>
  <si>
    <r>
      <t>207 TeI</t>
    </r>
    <r>
      <rPr>
        <vertAlign val="subscript"/>
        <sz val="10"/>
        <rFont val="Arial"/>
        <family val="0"/>
      </rPr>
      <t>6</t>
    </r>
    <r>
      <rPr>
        <vertAlign val="superscript"/>
        <sz val="10"/>
        <rFont val="Arial"/>
        <family val="0"/>
      </rPr>
      <t>2-</t>
    </r>
  </si>
  <si>
    <r>
      <t>207 Tb</t>
    </r>
    <r>
      <rPr>
        <vertAlign val="superscript"/>
        <sz val="10"/>
        <rFont val="Arial"/>
        <family val="2"/>
      </rPr>
      <t>3+</t>
    </r>
  </si>
  <si>
    <r>
      <t>208 TeO</t>
    </r>
    <r>
      <rPr>
        <vertAlign val="subscript"/>
        <sz val="10"/>
        <rFont val="Arial"/>
        <family val="0"/>
      </rPr>
      <t>4</t>
    </r>
    <r>
      <rPr>
        <vertAlign val="superscript"/>
        <sz val="10"/>
        <rFont val="Arial"/>
        <family val="0"/>
      </rPr>
      <t>2-</t>
    </r>
  </si>
  <si>
    <r>
      <t>208 Tb</t>
    </r>
    <r>
      <rPr>
        <vertAlign val="superscript"/>
        <sz val="10"/>
        <rFont val="Arial"/>
        <family val="2"/>
      </rPr>
      <t>4+</t>
    </r>
  </si>
  <si>
    <r>
      <t>209 Th(NO</t>
    </r>
    <r>
      <rPr>
        <vertAlign val="subscript"/>
        <sz val="10"/>
        <rFont val="Arial"/>
        <family val="0"/>
      </rPr>
      <t>3</t>
    </r>
    <r>
      <rPr>
        <sz val="10"/>
        <rFont val="Arial"/>
        <family val="0"/>
      </rPr>
      <t>)</t>
    </r>
    <r>
      <rPr>
        <vertAlign val="subscript"/>
        <sz val="10"/>
        <rFont val="Arial"/>
        <family val="0"/>
      </rPr>
      <t>6</t>
    </r>
    <r>
      <rPr>
        <vertAlign val="superscript"/>
        <sz val="10"/>
        <rFont val="Arial"/>
        <family val="0"/>
      </rPr>
      <t>2-</t>
    </r>
  </si>
  <si>
    <r>
      <t>209 Th</t>
    </r>
    <r>
      <rPr>
        <vertAlign val="superscript"/>
        <sz val="10"/>
        <rFont val="Arial"/>
        <family val="2"/>
      </rPr>
      <t>4+</t>
    </r>
  </si>
  <si>
    <r>
      <t>210 ThCl</t>
    </r>
    <r>
      <rPr>
        <vertAlign val="subscript"/>
        <sz val="10"/>
        <rFont val="Arial"/>
        <family val="0"/>
      </rPr>
      <t>6</t>
    </r>
    <r>
      <rPr>
        <vertAlign val="superscript"/>
        <sz val="10"/>
        <rFont val="Arial"/>
        <family val="0"/>
      </rPr>
      <t>2-</t>
    </r>
  </si>
  <si>
    <r>
      <t>210 Ti</t>
    </r>
    <r>
      <rPr>
        <vertAlign val="superscript"/>
        <sz val="10"/>
        <rFont val="Arial"/>
        <family val="2"/>
      </rPr>
      <t>2+</t>
    </r>
  </si>
  <si>
    <r>
      <t>211 ThF</t>
    </r>
    <r>
      <rPr>
        <vertAlign val="subscript"/>
        <sz val="10"/>
        <rFont val="Arial"/>
        <family val="0"/>
      </rPr>
      <t>6</t>
    </r>
    <r>
      <rPr>
        <vertAlign val="superscript"/>
        <sz val="10"/>
        <rFont val="Arial"/>
        <family val="0"/>
      </rPr>
      <t>2-</t>
    </r>
  </si>
  <si>
    <r>
      <t>211 Ti</t>
    </r>
    <r>
      <rPr>
        <vertAlign val="superscript"/>
        <sz val="10"/>
        <rFont val="Arial"/>
        <family val="2"/>
      </rPr>
      <t>3+</t>
    </r>
  </si>
  <si>
    <r>
      <t>212 TiBr</t>
    </r>
    <r>
      <rPr>
        <vertAlign val="subscript"/>
        <sz val="10"/>
        <rFont val="Arial"/>
        <family val="0"/>
      </rPr>
      <t>6</t>
    </r>
    <r>
      <rPr>
        <vertAlign val="superscript"/>
        <sz val="10"/>
        <rFont val="Arial"/>
        <family val="0"/>
      </rPr>
      <t>2-</t>
    </r>
  </si>
  <si>
    <r>
      <t>212 Ti</t>
    </r>
    <r>
      <rPr>
        <vertAlign val="superscript"/>
        <sz val="10"/>
        <rFont val="Arial"/>
        <family val="2"/>
      </rPr>
      <t>4+</t>
    </r>
  </si>
  <si>
    <r>
      <t>213 TiCl</t>
    </r>
    <r>
      <rPr>
        <vertAlign val="subscript"/>
        <sz val="10"/>
        <rFont val="Arial"/>
        <family val="0"/>
      </rPr>
      <t>6</t>
    </r>
    <r>
      <rPr>
        <vertAlign val="superscript"/>
        <sz val="10"/>
        <rFont val="Arial"/>
        <family val="0"/>
      </rPr>
      <t>2-</t>
    </r>
  </si>
  <si>
    <r>
      <t>213 Tl</t>
    </r>
    <r>
      <rPr>
        <vertAlign val="superscript"/>
        <sz val="10"/>
        <rFont val="Arial"/>
        <family val="2"/>
      </rPr>
      <t>+</t>
    </r>
  </si>
  <si>
    <r>
      <t>214 TiF</t>
    </r>
    <r>
      <rPr>
        <vertAlign val="subscript"/>
        <sz val="10"/>
        <rFont val="Arial"/>
        <family val="0"/>
      </rPr>
      <t>6</t>
    </r>
    <r>
      <rPr>
        <vertAlign val="superscript"/>
        <sz val="10"/>
        <rFont val="Arial"/>
        <family val="0"/>
      </rPr>
      <t>2-</t>
    </r>
  </si>
  <si>
    <r>
      <t>214 Tl</t>
    </r>
    <r>
      <rPr>
        <vertAlign val="superscript"/>
        <sz val="10"/>
        <rFont val="Arial"/>
        <family val="2"/>
      </rPr>
      <t>3+</t>
    </r>
  </si>
  <si>
    <r>
      <t>215 UCl</t>
    </r>
    <r>
      <rPr>
        <vertAlign val="subscript"/>
        <sz val="10"/>
        <rFont val="Arial"/>
        <family val="0"/>
      </rPr>
      <t>6</t>
    </r>
    <r>
      <rPr>
        <vertAlign val="superscript"/>
        <sz val="10"/>
        <rFont val="Arial"/>
        <family val="0"/>
      </rPr>
      <t>2-</t>
    </r>
  </si>
  <si>
    <r>
      <t>215 Tm</t>
    </r>
    <r>
      <rPr>
        <vertAlign val="superscript"/>
        <sz val="10"/>
        <rFont val="Arial"/>
        <family val="2"/>
      </rPr>
      <t>3+</t>
    </r>
  </si>
  <si>
    <r>
      <t>216 UF</t>
    </r>
    <r>
      <rPr>
        <vertAlign val="subscript"/>
        <sz val="10"/>
        <rFont val="Arial"/>
        <family val="0"/>
      </rPr>
      <t>6</t>
    </r>
    <r>
      <rPr>
        <vertAlign val="superscript"/>
        <sz val="10"/>
        <rFont val="Arial"/>
        <family val="0"/>
      </rPr>
      <t>2-</t>
    </r>
  </si>
  <si>
    <r>
      <t>216 U</t>
    </r>
    <r>
      <rPr>
        <vertAlign val="superscript"/>
        <sz val="10"/>
        <rFont val="Arial"/>
        <family val="2"/>
      </rPr>
      <t>4+</t>
    </r>
  </si>
  <si>
    <r>
      <t>217 VO</t>
    </r>
    <r>
      <rPr>
        <vertAlign val="subscript"/>
        <sz val="10"/>
        <rFont val="Arial"/>
        <family val="0"/>
      </rPr>
      <t>3</t>
    </r>
    <r>
      <rPr>
        <vertAlign val="superscript"/>
        <sz val="10"/>
        <rFont val="Arial"/>
        <family val="0"/>
      </rPr>
      <t>2-</t>
    </r>
  </si>
  <si>
    <r>
      <t>217 V</t>
    </r>
    <r>
      <rPr>
        <vertAlign val="superscript"/>
        <sz val="10"/>
        <rFont val="Arial"/>
        <family val="2"/>
      </rPr>
      <t>2+</t>
    </r>
  </si>
  <si>
    <r>
      <t>218 WBr</t>
    </r>
    <r>
      <rPr>
        <vertAlign val="subscript"/>
        <sz val="10"/>
        <rFont val="Arial"/>
        <family val="0"/>
      </rPr>
      <t>6</t>
    </r>
    <r>
      <rPr>
        <vertAlign val="superscript"/>
        <sz val="10"/>
        <rFont val="Arial"/>
        <family val="0"/>
      </rPr>
      <t>2-</t>
    </r>
  </si>
  <si>
    <r>
      <t>218 V</t>
    </r>
    <r>
      <rPr>
        <vertAlign val="superscript"/>
        <sz val="10"/>
        <rFont val="Arial"/>
        <family val="2"/>
      </rPr>
      <t>3+</t>
    </r>
  </si>
  <si>
    <r>
      <t>219 WCl</t>
    </r>
    <r>
      <rPr>
        <vertAlign val="subscript"/>
        <sz val="10"/>
        <rFont val="Arial"/>
        <family val="0"/>
      </rPr>
      <t>6</t>
    </r>
    <r>
      <rPr>
        <vertAlign val="superscript"/>
        <sz val="10"/>
        <rFont val="Arial"/>
        <family val="0"/>
      </rPr>
      <t>2-</t>
    </r>
  </si>
  <si>
    <r>
      <t>219 V</t>
    </r>
    <r>
      <rPr>
        <vertAlign val="superscript"/>
        <sz val="10"/>
        <rFont val="Arial"/>
        <family val="2"/>
      </rPr>
      <t>4+</t>
    </r>
  </si>
  <si>
    <r>
      <t>220 WO</t>
    </r>
    <r>
      <rPr>
        <vertAlign val="subscript"/>
        <sz val="10"/>
        <rFont val="Arial"/>
        <family val="0"/>
      </rPr>
      <t>4</t>
    </r>
    <r>
      <rPr>
        <vertAlign val="superscript"/>
        <sz val="10"/>
        <rFont val="Arial"/>
        <family val="0"/>
      </rPr>
      <t>2-</t>
    </r>
  </si>
  <si>
    <r>
      <t>220 Y</t>
    </r>
    <r>
      <rPr>
        <vertAlign val="superscript"/>
        <sz val="10"/>
        <rFont val="Arial"/>
        <family val="2"/>
      </rPr>
      <t>3+</t>
    </r>
  </si>
  <si>
    <r>
      <t>221 WOCl</t>
    </r>
    <r>
      <rPr>
        <vertAlign val="subscript"/>
        <sz val="10"/>
        <rFont val="Arial"/>
        <family val="0"/>
      </rPr>
      <t>5</t>
    </r>
    <r>
      <rPr>
        <vertAlign val="superscript"/>
        <sz val="10"/>
        <rFont val="Arial"/>
        <family val="0"/>
      </rPr>
      <t>2-</t>
    </r>
  </si>
  <si>
    <r>
      <t>221 Yb</t>
    </r>
    <r>
      <rPr>
        <vertAlign val="superscript"/>
        <sz val="10"/>
        <rFont val="Arial"/>
        <family val="2"/>
      </rPr>
      <t>3+</t>
    </r>
  </si>
  <si>
    <r>
      <t>222 ZnBr</t>
    </r>
    <r>
      <rPr>
        <vertAlign val="subscript"/>
        <sz val="10"/>
        <rFont val="Arial"/>
        <family val="0"/>
      </rPr>
      <t>4</t>
    </r>
    <r>
      <rPr>
        <vertAlign val="superscript"/>
        <sz val="10"/>
        <rFont val="Arial"/>
        <family val="0"/>
      </rPr>
      <t>2-</t>
    </r>
  </si>
  <si>
    <r>
      <t>222 Zn</t>
    </r>
    <r>
      <rPr>
        <vertAlign val="superscript"/>
        <sz val="10"/>
        <rFont val="Arial"/>
        <family val="2"/>
      </rPr>
      <t>2+</t>
    </r>
  </si>
  <si>
    <r>
      <t>223 ZnCl</t>
    </r>
    <r>
      <rPr>
        <vertAlign val="subscript"/>
        <sz val="10"/>
        <rFont val="Arial"/>
        <family val="0"/>
      </rPr>
      <t>4</t>
    </r>
    <r>
      <rPr>
        <vertAlign val="superscript"/>
        <sz val="10"/>
        <rFont val="Arial"/>
        <family val="0"/>
      </rPr>
      <t>2-</t>
    </r>
  </si>
  <si>
    <r>
      <t>223 Zr</t>
    </r>
    <r>
      <rPr>
        <vertAlign val="superscript"/>
        <sz val="10"/>
        <rFont val="Arial"/>
        <family val="2"/>
      </rPr>
      <t>4+</t>
    </r>
  </si>
  <si>
    <r>
      <t>224 ZnF</t>
    </r>
    <r>
      <rPr>
        <vertAlign val="subscript"/>
        <sz val="10"/>
        <rFont val="Arial"/>
        <family val="0"/>
      </rPr>
      <t>4</t>
    </r>
    <r>
      <rPr>
        <vertAlign val="superscript"/>
        <sz val="10"/>
        <rFont val="Arial"/>
        <family val="0"/>
      </rPr>
      <t>2-</t>
    </r>
  </si>
  <si>
    <r>
      <t>225 ZnI</t>
    </r>
    <r>
      <rPr>
        <vertAlign val="subscript"/>
        <sz val="10"/>
        <rFont val="Arial"/>
        <family val="0"/>
      </rPr>
      <t>4</t>
    </r>
    <r>
      <rPr>
        <vertAlign val="superscript"/>
        <sz val="10"/>
        <rFont val="Arial"/>
        <family val="0"/>
      </rPr>
      <t>2-</t>
    </r>
  </si>
  <si>
    <r>
      <t>226 ZrBr</t>
    </r>
    <r>
      <rPr>
        <vertAlign val="subscript"/>
        <sz val="10"/>
        <rFont val="Arial"/>
        <family val="0"/>
      </rPr>
      <t>4</t>
    </r>
    <r>
      <rPr>
        <vertAlign val="superscript"/>
        <sz val="10"/>
        <rFont val="Arial"/>
        <family val="0"/>
      </rPr>
      <t>2-</t>
    </r>
  </si>
  <si>
    <r>
      <t>227 ZrCl</t>
    </r>
    <r>
      <rPr>
        <vertAlign val="subscript"/>
        <sz val="10"/>
        <rFont val="Arial"/>
        <family val="0"/>
      </rPr>
      <t>4</t>
    </r>
    <r>
      <rPr>
        <vertAlign val="superscript"/>
        <sz val="10"/>
        <rFont val="Arial"/>
        <family val="0"/>
      </rPr>
      <t>2-</t>
    </r>
  </si>
  <si>
    <r>
      <t>228 ZrCl</t>
    </r>
    <r>
      <rPr>
        <vertAlign val="subscript"/>
        <sz val="10"/>
        <rFont val="Arial"/>
        <family val="0"/>
      </rPr>
      <t>6</t>
    </r>
    <r>
      <rPr>
        <vertAlign val="superscript"/>
        <sz val="10"/>
        <rFont val="Arial"/>
        <family val="0"/>
      </rPr>
      <t>2-</t>
    </r>
  </si>
  <si>
    <r>
      <t>229 ZrF</t>
    </r>
    <r>
      <rPr>
        <vertAlign val="subscript"/>
        <sz val="10"/>
        <rFont val="Arial"/>
        <family val="0"/>
      </rPr>
      <t>6</t>
    </r>
    <r>
      <rPr>
        <vertAlign val="superscript"/>
        <sz val="10"/>
        <rFont val="Arial"/>
        <family val="0"/>
      </rPr>
      <t>2-</t>
    </r>
  </si>
  <si>
    <r>
      <t>230 AlH</t>
    </r>
    <r>
      <rPr>
        <vertAlign val="subscript"/>
        <sz val="10"/>
        <rFont val="Arial"/>
        <family val="0"/>
      </rPr>
      <t>6</t>
    </r>
    <r>
      <rPr>
        <vertAlign val="superscript"/>
        <sz val="10"/>
        <rFont val="Arial"/>
        <family val="0"/>
      </rPr>
      <t>3-</t>
    </r>
  </si>
  <si>
    <r>
      <t>231 AsO</t>
    </r>
    <r>
      <rPr>
        <vertAlign val="subscript"/>
        <sz val="10"/>
        <rFont val="Arial"/>
        <family val="0"/>
      </rPr>
      <t>4</t>
    </r>
    <r>
      <rPr>
        <vertAlign val="superscript"/>
        <sz val="10"/>
        <rFont val="Arial"/>
        <family val="0"/>
      </rPr>
      <t>3-</t>
    </r>
  </si>
  <si>
    <r>
      <t>232 CdBr</t>
    </r>
    <r>
      <rPr>
        <vertAlign val="subscript"/>
        <sz val="10"/>
        <rFont val="Arial"/>
        <family val="0"/>
      </rPr>
      <t>6</t>
    </r>
    <r>
      <rPr>
        <vertAlign val="superscript"/>
        <sz val="10"/>
        <rFont val="Arial"/>
        <family val="0"/>
      </rPr>
      <t>4-</t>
    </r>
  </si>
  <si>
    <r>
      <t>233 CdCl</t>
    </r>
    <r>
      <rPr>
        <vertAlign val="subscript"/>
        <sz val="10"/>
        <rFont val="Arial"/>
        <family val="0"/>
      </rPr>
      <t>6</t>
    </r>
    <r>
      <rPr>
        <vertAlign val="superscript"/>
        <sz val="10"/>
        <rFont val="Arial"/>
        <family val="0"/>
      </rPr>
      <t>4-</t>
    </r>
  </si>
  <si>
    <r>
      <t>234 CeF</t>
    </r>
    <r>
      <rPr>
        <vertAlign val="subscript"/>
        <sz val="10"/>
        <rFont val="Arial"/>
        <family val="0"/>
      </rPr>
      <t>6</t>
    </r>
    <r>
      <rPr>
        <vertAlign val="superscript"/>
        <sz val="10"/>
        <rFont val="Arial"/>
        <family val="0"/>
      </rPr>
      <t>3-</t>
    </r>
  </si>
  <si>
    <r>
      <t>235 CeF</t>
    </r>
    <r>
      <rPr>
        <vertAlign val="subscript"/>
        <sz val="10"/>
        <rFont val="Arial"/>
        <family val="0"/>
      </rPr>
      <t>7</t>
    </r>
    <r>
      <rPr>
        <vertAlign val="superscript"/>
        <sz val="10"/>
        <rFont val="Arial"/>
        <family val="0"/>
      </rPr>
      <t>3-</t>
    </r>
  </si>
  <si>
    <r>
      <t>236 Co(CN)</t>
    </r>
    <r>
      <rPr>
        <vertAlign val="subscript"/>
        <sz val="10"/>
        <rFont val="Arial"/>
        <family val="0"/>
      </rPr>
      <t>6</t>
    </r>
    <r>
      <rPr>
        <vertAlign val="superscript"/>
        <sz val="10"/>
        <rFont val="Arial"/>
        <family val="0"/>
      </rPr>
      <t>3-</t>
    </r>
  </si>
  <si>
    <r>
      <t>237 Co(NO</t>
    </r>
    <r>
      <rPr>
        <vertAlign val="subscript"/>
        <sz val="10"/>
        <rFont val="Arial"/>
        <family val="0"/>
      </rPr>
      <t>2</t>
    </r>
    <r>
      <rPr>
        <sz val="10"/>
        <rFont val="Arial"/>
        <family val="0"/>
      </rPr>
      <t>)</t>
    </r>
    <r>
      <rPr>
        <vertAlign val="subscript"/>
        <sz val="10"/>
        <rFont val="Arial"/>
        <family val="0"/>
      </rPr>
      <t>6</t>
    </r>
    <r>
      <rPr>
        <vertAlign val="superscript"/>
        <sz val="10"/>
        <rFont val="Arial"/>
        <family val="0"/>
      </rPr>
      <t>3-</t>
    </r>
  </si>
  <si>
    <r>
      <t>238 CoCl</t>
    </r>
    <r>
      <rPr>
        <vertAlign val="subscript"/>
        <sz val="10"/>
        <rFont val="Arial"/>
        <family val="0"/>
      </rPr>
      <t>5</t>
    </r>
    <r>
      <rPr>
        <vertAlign val="superscript"/>
        <sz val="10"/>
        <rFont val="Arial"/>
        <family val="0"/>
      </rPr>
      <t>3-</t>
    </r>
  </si>
  <si>
    <r>
      <t>239 CoF</t>
    </r>
    <r>
      <rPr>
        <vertAlign val="subscript"/>
        <sz val="10"/>
        <rFont val="Arial"/>
        <family val="0"/>
      </rPr>
      <t>6</t>
    </r>
    <r>
      <rPr>
        <vertAlign val="superscript"/>
        <sz val="10"/>
        <rFont val="Arial"/>
        <family val="0"/>
      </rPr>
      <t>3-</t>
    </r>
  </si>
  <si>
    <r>
      <t>240 Cr(CN)</t>
    </r>
    <r>
      <rPr>
        <vertAlign val="subscript"/>
        <sz val="10"/>
        <rFont val="Arial"/>
        <family val="0"/>
      </rPr>
      <t>6</t>
    </r>
    <r>
      <rPr>
        <vertAlign val="superscript"/>
        <sz val="10"/>
        <rFont val="Arial"/>
        <family val="0"/>
      </rPr>
      <t>3-</t>
    </r>
  </si>
  <si>
    <r>
      <t>241 CrF</t>
    </r>
    <r>
      <rPr>
        <vertAlign val="subscript"/>
        <sz val="10"/>
        <rFont val="Arial"/>
        <family val="0"/>
      </rPr>
      <t>6</t>
    </r>
    <r>
      <rPr>
        <vertAlign val="superscript"/>
        <sz val="10"/>
        <rFont val="Arial"/>
        <family val="0"/>
      </rPr>
      <t>3-</t>
    </r>
  </si>
  <si>
    <r>
      <t>242 Cu(CN)</t>
    </r>
    <r>
      <rPr>
        <vertAlign val="subscript"/>
        <sz val="10"/>
        <rFont val="Arial"/>
        <family val="0"/>
      </rPr>
      <t>4</t>
    </r>
    <r>
      <rPr>
        <vertAlign val="superscript"/>
        <sz val="10"/>
        <rFont val="Arial"/>
        <family val="0"/>
      </rPr>
      <t>3-</t>
    </r>
  </si>
  <si>
    <r>
      <t>243 Fe(CN)</t>
    </r>
    <r>
      <rPr>
        <vertAlign val="subscript"/>
        <sz val="10"/>
        <rFont val="Arial"/>
        <family val="0"/>
      </rPr>
      <t>6</t>
    </r>
    <r>
      <rPr>
        <vertAlign val="superscript"/>
        <sz val="10"/>
        <rFont val="Arial"/>
        <family val="0"/>
      </rPr>
      <t>3-</t>
    </r>
  </si>
  <si>
    <r>
      <t>244 FeF</t>
    </r>
    <r>
      <rPr>
        <vertAlign val="subscript"/>
        <sz val="10"/>
        <rFont val="Arial"/>
        <family val="0"/>
      </rPr>
      <t>6</t>
    </r>
    <r>
      <rPr>
        <vertAlign val="superscript"/>
        <sz val="10"/>
        <rFont val="Arial"/>
        <family val="0"/>
      </rPr>
      <t>3-</t>
    </r>
  </si>
  <si>
    <r>
      <t>245 HfF</t>
    </r>
    <r>
      <rPr>
        <vertAlign val="subscript"/>
        <sz val="10"/>
        <rFont val="Arial"/>
        <family val="0"/>
      </rPr>
      <t>7</t>
    </r>
    <r>
      <rPr>
        <vertAlign val="superscript"/>
        <sz val="10"/>
        <rFont val="Arial"/>
        <family val="0"/>
      </rPr>
      <t>3-</t>
    </r>
  </si>
  <si>
    <r>
      <t>246 InF</t>
    </r>
    <r>
      <rPr>
        <vertAlign val="subscript"/>
        <sz val="10"/>
        <rFont val="Arial"/>
        <family val="0"/>
      </rPr>
      <t>6</t>
    </r>
    <r>
      <rPr>
        <vertAlign val="superscript"/>
        <sz val="10"/>
        <rFont val="Arial"/>
        <family val="0"/>
      </rPr>
      <t>3-</t>
    </r>
  </si>
  <si>
    <r>
      <t>247 Ir(CN)</t>
    </r>
    <r>
      <rPr>
        <vertAlign val="subscript"/>
        <sz val="10"/>
        <rFont val="Arial"/>
        <family val="0"/>
      </rPr>
      <t>6</t>
    </r>
    <r>
      <rPr>
        <vertAlign val="superscript"/>
        <sz val="10"/>
        <rFont val="Arial"/>
        <family val="0"/>
      </rPr>
      <t>3-</t>
    </r>
  </si>
  <si>
    <r>
      <t>248 Ir(NO</t>
    </r>
    <r>
      <rPr>
        <vertAlign val="subscript"/>
        <sz val="10"/>
        <rFont val="Arial"/>
        <family val="0"/>
      </rPr>
      <t>2</t>
    </r>
    <r>
      <rPr>
        <sz val="10"/>
        <rFont val="Arial"/>
        <family val="0"/>
      </rPr>
      <t>)</t>
    </r>
    <r>
      <rPr>
        <vertAlign val="subscript"/>
        <sz val="10"/>
        <rFont val="Arial"/>
        <family val="0"/>
      </rPr>
      <t>6</t>
    </r>
    <r>
      <rPr>
        <vertAlign val="superscript"/>
        <sz val="10"/>
        <rFont val="Arial"/>
        <family val="0"/>
      </rPr>
      <t>3-</t>
    </r>
  </si>
  <si>
    <r>
      <t>249 Mn(CN)</t>
    </r>
    <r>
      <rPr>
        <vertAlign val="subscript"/>
        <sz val="10"/>
        <rFont val="Arial"/>
        <family val="0"/>
      </rPr>
      <t>6</t>
    </r>
    <r>
      <rPr>
        <vertAlign val="superscript"/>
        <sz val="10"/>
        <rFont val="Arial"/>
        <family val="0"/>
      </rPr>
      <t>3-</t>
    </r>
  </si>
  <si>
    <r>
      <t>250 Mn(CN)</t>
    </r>
    <r>
      <rPr>
        <vertAlign val="subscript"/>
        <sz val="10"/>
        <rFont val="Arial"/>
        <family val="0"/>
      </rPr>
      <t>6</t>
    </r>
    <r>
      <rPr>
        <vertAlign val="superscript"/>
        <sz val="10"/>
        <rFont val="Arial"/>
        <family val="0"/>
      </rPr>
      <t>5-</t>
    </r>
  </si>
  <si>
    <r>
      <t>251 MnCl</t>
    </r>
    <r>
      <rPr>
        <vertAlign val="subscript"/>
        <sz val="10"/>
        <rFont val="Arial"/>
        <family val="0"/>
      </rPr>
      <t>6</t>
    </r>
    <r>
      <rPr>
        <vertAlign val="superscript"/>
        <sz val="10"/>
        <rFont val="Arial"/>
        <family val="0"/>
      </rPr>
      <t>4-</t>
    </r>
  </si>
  <si>
    <r>
      <t>252 N</t>
    </r>
    <r>
      <rPr>
        <vertAlign val="superscript"/>
        <sz val="10"/>
        <rFont val="Arial"/>
        <family val="0"/>
      </rPr>
      <t>3-</t>
    </r>
  </si>
  <si>
    <r>
      <t>253 Ni(NO</t>
    </r>
    <r>
      <rPr>
        <vertAlign val="subscript"/>
        <sz val="10"/>
        <rFont val="Arial"/>
        <family val="0"/>
      </rPr>
      <t>2</t>
    </r>
    <r>
      <rPr>
        <sz val="10"/>
        <rFont val="Arial"/>
        <family val="0"/>
      </rPr>
      <t>)</t>
    </r>
    <r>
      <rPr>
        <vertAlign val="subscript"/>
        <sz val="10"/>
        <rFont val="Arial"/>
        <family val="0"/>
      </rPr>
      <t>6</t>
    </r>
    <r>
      <rPr>
        <vertAlign val="superscript"/>
        <sz val="10"/>
        <rFont val="Arial"/>
        <family val="0"/>
      </rPr>
      <t>3-</t>
    </r>
  </si>
  <si>
    <r>
      <t>254 Ni(NO</t>
    </r>
    <r>
      <rPr>
        <vertAlign val="subscript"/>
        <sz val="10"/>
        <rFont val="Arial"/>
        <family val="0"/>
      </rPr>
      <t>2</t>
    </r>
    <r>
      <rPr>
        <sz val="10"/>
        <rFont val="Arial"/>
        <family val="0"/>
      </rPr>
      <t>)</t>
    </r>
    <r>
      <rPr>
        <vertAlign val="subscript"/>
        <sz val="10"/>
        <rFont val="Arial"/>
        <family val="0"/>
      </rPr>
      <t>6</t>
    </r>
    <r>
      <rPr>
        <vertAlign val="superscript"/>
        <sz val="10"/>
        <rFont val="Arial"/>
        <family val="0"/>
      </rPr>
      <t>4-</t>
    </r>
  </si>
  <si>
    <r>
      <t>255 NiF</t>
    </r>
    <r>
      <rPr>
        <vertAlign val="subscript"/>
        <sz val="10"/>
        <rFont val="Arial"/>
        <family val="0"/>
      </rPr>
      <t>6</t>
    </r>
    <r>
      <rPr>
        <vertAlign val="superscript"/>
        <sz val="10"/>
        <rFont val="Arial"/>
        <family val="0"/>
      </rPr>
      <t>3-</t>
    </r>
  </si>
  <si>
    <r>
      <t>256 O</t>
    </r>
    <r>
      <rPr>
        <vertAlign val="superscript"/>
        <sz val="10"/>
        <rFont val="Arial"/>
        <family val="2"/>
      </rPr>
      <t>3</t>
    </r>
    <r>
      <rPr>
        <vertAlign val="superscript"/>
        <sz val="10"/>
        <rFont val="Arial"/>
        <family val="0"/>
      </rPr>
      <t>-</t>
    </r>
  </si>
  <si>
    <r>
      <t>257 P</t>
    </r>
    <r>
      <rPr>
        <vertAlign val="superscript"/>
        <sz val="10"/>
        <rFont val="Arial"/>
        <family val="0"/>
      </rPr>
      <t>3-</t>
    </r>
  </si>
  <si>
    <r>
      <t>258 PaF</t>
    </r>
    <r>
      <rPr>
        <vertAlign val="subscript"/>
        <sz val="10"/>
        <rFont val="Arial"/>
        <family val="0"/>
      </rPr>
      <t>8</t>
    </r>
    <r>
      <rPr>
        <vertAlign val="superscript"/>
        <sz val="10"/>
        <rFont val="Arial"/>
        <family val="0"/>
      </rPr>
      <t>3-</t>
    </r>
  </si>
  <si>
    <r>
      <t>259 PO</t>
    </r>
    <r>
      <rPr>
        <vertAlign val="subscript"/>
        <sz val="10"/>
        <rFont val="Arial"/>
        <family val="0"/>
      </rPr>
      <t>4</t>
    </r>
    <r>
      <rPr>
        <vertAlign val="superscript"/>
        <sz val="10"/>
        <rFont val="Arial"/>
        <family val="0"/>
      </rPr>
      <t>3-</t>
    </r>
  </si>
  <si>
    <r>
      <t>260 PrF</t>
    </r>
    <r>
      <rPr>
        <vertAlign val="subscript"/>
        <sz val="10"/>
        <rFont val="Arial"/>
        <family val="0"/>
      </rPr>
      <t>6</t>
    </r>
    <r>
      <rPr>
        <vertAlign val="superscript"/>
        <sz val="10"/>
        <rFont val="Arial"/>
        <family val="0"/>
      </rPr>
      <t>3-</t>
    </r>
  </si>
  <si>
    <r>
      <t>261 Rh(NO</t>
    </r>
    <r>
      <rPr>
        <vertAlign val="subscript"/>
        <sz val="10"/>
        <rFont val="Arial"/>
        <family val="0"/>
      </rPr>
      <t>2</t>
    </r>
    <r>
      <rPr>
        <sz val="10"/>
        <rFont val="Arial"/>
        <family val="0"/>
      </rPr>
      <t>)</t>
    </r>
    <r>
      <rPr>
        <vertAlign val="subscript"/>
        <sz val="10"/>
        <rFont val="Arial"/>
        <family val="0"/>
      </rPr>
      <t>6</t>
    </r>
    <r>
      <rPr>
        <vertAlign val="superscript"/>
        <sz val="10"/>
        <rFont val="Arial"/>
        <family val="0"/>
      </rPr>
      <t>3-</t>
    </r>
  </si>
  <si>
    <r>
      <t>262 Rh(SCN)</t>
    </r>
    <r>
      <rPr>
        <vertAlign val="subscript"/>
        <sz val="10"/>
        <rFont val="Arial"/>
        <family val="0"/>
      </rPr>
      <t>6</t>
    </r>
    <r>
      <rPr>
        <vertAlign val="superscript"/>
        <sz val="10"/>
        <rFont val="Arial"/>
        <family val="0"/>
      </rPr>
      <t>3-</t>
    </r>
  </si>
  <si>
    <r>
      <t>263 TaF</t>
    </r>
    <r>
      <rPr>
        <vertAlign val="subscript"/>
        <sz val="10"/>
        <rFont val="Arial"/>
        <family val="0"/>
      </rPr>
      <t>8</t>
    </r>
    <r>
      <rPr>
        <vertAlign val="superscript"/>
        <sz val="10"/>
        <rFont val="Arial"/>
        <family val="0"/>
      </rPr>
      <t>3-</t>
    </r>
  </si>
  <si>
    <r>
      <t>264 TbF</t>
    </r>
    <r>
      <rPr>
        <vertAlign val="subscript"/>
        <sz val="10"/>
        <rFont val="Arial"/>
        <family val="0"/>
      </rPr>
      <t>7</t>
    </r>
    <r>
      <rPr>
        <vertAlign val="superscript"/>
        <sz val="10"/>
        <rFont val="Arial"/>
        <family val="0"/>
      </rPr>
      <t>3-</t>
    </r>
  </si>
  <si>
    <r>
      <t>265 Tc(CN)</t>
    </r>
    <r>
      <rPr>
        <vertAlign val="subscript"/>
        <sz val="10"/>
        <rFont val="Arial"/>
        <family val="0"/>
      </rPr>
      <t>6</t>
    </r>
    <r>
      <rPr>
        <vertAlign val="superscript"/>
        <sz val="10"/>
        <rFont val="Arial"/>
        <family val="0"/>
      </rPr>
      <t>5-</t>
    </r>
  </si>
  <si>
    <r>
      <t>266 ThF</t>
    </r>
    <r>
      <rPr>
        <vertAlign val="subscript"/>
        <sz val="10"/>
        <rFont val="Arial"/>
        <family val="0"/>
      </rPr>
      <t>7</t>
    </r>
    <r>
      <rPr>
        <vertAlign val="superscript"/>
        <sz val="10"/>
        <rFont val="Arial"/>
        <family val="0"/>
      </rPr>
      <t>3-</t>
    </r>
  </si>
  <si>
    <r>
      <t>267 TiBr</t>
    </r>
    <r>
      <rPr>
        <vertAlign val="subscript"/>
        <sz val="10"/>
        <rFont val="Arial"/>
        <family val="0"/>
      </rPr>
      <t>6</t>
    </r>
    <r>
      <rPr>
        <vertAlign val="superscript"/>
        <sz val="10"/>
        <rFont val="Arial"/>
        <family val="0"/>
      </rPr>
      <t>3-</t>
    </r>
  </si>
  <si>
    <r>
      <t>268 TlF</t>
    </r>
    <r>
      <rPr>
        <vertAlign val="subscript"/>
        <sz val="10"/>
        <rFont val="Arial"/>
        <family val="0"/>
      </rPr>
      <t>6</t>
    </r>
    <r>
      <rPr>
        <vertAlign val="superscript"/>
        <sz val="10"/>
        <rFont val="Arial"/>
        <family val="0"/>
      </rPr>
      <t>3-</t>
    </r>
  </si>
  <si>
    <r>
      <t>269 UF</t>
    </r>
    <r>
      <rPr>
        <vertAlign val="subscript"/>
        <sz val="10"/>
        <rFont val="Arial"/>
        <family val="0"/>
      </rPr>
      <t>7</t>
    </r>
    <r>
      <rPr>
        <vertAlign val="superscript"/>
        <sz val="10"/>
        <rFont val="Arial"/>
        <family val="0"/>
      </rPr>
      <t>3-</t>
    </r>
  </si>
  <si>
    <r>
      <t>270 YF</t>
    </r>
    <r>
      <rPr>
        <vertAlign val="subscript"/>
        <sz val="10"/>
        <rFont val="Arial"/>
        <family val="0"/>
      </rPr>
      <t>6</t>
    </r>
    <r>
      <rPr>
        <vertAlign val="superscript"/>
        <sz val="10"/>
        <rFont val="Arial"/>
        <family val="0"/>
      </rPr>
      <t>3-</t>
    </r>
  </si>
  <si>
    <r>
      <t>271 ZrF</t>
    </r>
    <r>
      <rPr>
        <vertAlign val="subscript"/>
        <sz val="10"/>
        <rFont val="Arial"/>
        <family val="0"/>
      </rPr>
      <t>7</t>
    </r>
    <r>
      <rPr>
        <vertAlign val="superscript"/>
        <sz val="10"/>
        <rFont val="Arial"/>
        <family val="0"/>
      </rPr>
      <t>3-</t>
    </r>
  </si>
  <si>
    <r>
      <t xml:space="preserve">The molar solvation energy, </t>
    </r>
    <r>
      <rPr>
        <i/>
        <sz val="12"/>
        <rFont val="Times New Roman"/>
        <family val="1"/>
      </rPr>
      <t>E</t>
    </r>
    <r>
      <rPr>
        <i/>
        <vertAlign val="subscript"/>
        <sz val="12"/>
        <rFont val="Times New Roman"/>
        <family val="1"/>
      </rPr>
      <t>solv</t>
    </r>
    <r>
      <rPr>
        <sz val="10"/>
        <rFont val="Arial"/>
        <family val="2"/>
      </rPr>
      <t>,</t>
    </r>
    <r>
      <rPr>
        <sz val="10"/>
        <rFont val="Arial"/>
        <family val="0"/>
      </rPr>
      <t xml:space="preserve"> of an ion can be estimated by </t>
    </r>
  </si>
  <si>
    <r>
      <t xml:space="preserve">Madelung constant, </t>
    </r>
    <r>
      <rPr>
        <i/>
        <sz val="12"/>
        <rFont val="Times New Roman"/>
        <family val="1"/>
      </rPr>
      <t>A</t>
    </r>
  </si>
  <si>
    <r>
      <t>D</t>
    </r>
    <r>
      <rPr>
        <i/>
        <sz val="10"/>
        <rFont val="Arial"/>
        <family val="2"/>
      </rPr>
      <t>H°</t>
    </r>
    <r>
      <rPr>
        <vertAlign val="subscript"/>
        <sz val="10"/>
        <rFont val="Arial"/>
        <family val="2"/>
      </rPr>
      <t>f</t>
    </r>
    <r>
      <rPr>
        <sz val="10"/>
        <rFont val="Arial"/>
        <family val="2"/>
      </rPr>
      <t>(298 K)</t>
    </r>
  </si>
  <si>
    <r>
      <t xml:space="preserve">where </t>
    </r>
    <r>
      <rPr>
        <i/>
        <sz val="12"/>
        <rFont val="Times New Roman"/>
        <family val="1"/>
      </rPr>
      <t xml:space="preserve">Z </t>
    </r>
    <r>
      <rPr>
        <sz val="10"/>
        <rFont val="Arial"/>
        <family val="2"/>
      </rPr>
      <t xml:space="preserve">is the ion's charge, </t>
    </r>
    <r>
      <rPr>
        <i/>
        <sz val="12"/>
        <rFont val="Times New Roman"/>
        <family val="1"/>
      </rPr>
      <t>r</t>
    </r>
    <r>
      <rPr>
        <sz val="10"/>
        <rFont val="Arial"/>
        <family val="2"/>
      </rPr>
      <t xml:space="preserve"> is it's radius, </t>
    </r>
    <r>
      <rPr>
        <i/>
        <sz val="10"/>
        <rFont val="Arial"/>
        <family val="2"/>
      </rPr>
      <t>a</t>
    </r>
    <r>
      <rPr>
        <sz val="10"/>
        <rFont val="Arial"/>
        <family val="2"/>
      </rPr>
      <t xml:space="preserve"> is a constant (74 pm for cations and 6 pm for anions), and </t>
    </r>
    <r>
      <rPr>
        <sz val="10"/>
        <rFont val="Symbol"/>
        <family val="1"/>
      </rPr>
      <t>e</t>
    </r>
    <r>
      <rPr>
        <sz val="10"/>
        <rFont val="Arial"/>
        <family val="2"/>
      </rPr>
      <t xml:space="preserve"> is the dielectric constant of the solvent (taken, here, to be water).</t>
    </r>
  </si>
  <si>
    <r>
      <t>D</t>
    </r>
    <r>
      <rPr>
        <i/>
        <sz val="10"/>
        <rFont val="Arial"/>
        <family val="2"/>
      </rPr>
      <t>H°</t>
    </r>
    <r>
      <rPr>
        <vertAlign val="subscript"/>
        <sz val="10"/>
        <rFont val="Arial"/>
        <family val="2"/>
      </rPr>
      <t>ionization</t>
    </r>
  </si>
  <si>
    <r>
      <t>I</t>
    </r>
    <r>
      <rPr>
        <vertAlign val="subscript"/>
        <sz val="10"/>
        <rFont val="Arial"/>
        <family val="2"/>
      </rPr>
      <t>1</t>
    </r>
    <r>
      <rPr>
        <sz val="10"/>
        <rFont val="Arial"/>
        <family val="2"/>
      </rPr>
      <t xml:space="preserve">, </t>
    </r>
    <r>
      <rPr>
        <i/>
        <sz val="10"/>
        <rFont val="Arial"/>
        <family val="2"/>
      </rPr>
      <t>I</t>
    </r>
    <r>
      <rPr>
        <vertAlign val="subscript"/>
        <sz val="10"/>
        <rFont val="Arial"/>
        <family val="2"/>
      </rPr>
      <t>2</t>
    </r>
    <r>
      <rPr>
        <sz val="10"/>
        <rFont val="Arial"/>
        <family val="2"/>
      </rPr>
      <t xml:space="preserve">, … </t>
    </r>
    <r>
      <rPr>
        <i/>
        <sz val="10"/>
        <rFont val="Arial"/>
        <family val="2"/>
      </rPr>
      <t>I</t>
    </r>
    <r>
      <rPr>
        <vertAlign val="subscript"/>
        <sz val="10"/>
        <rFont val="Arial"/>
        <family val="2"/>
      </rPr>
      <t>7</t>
    </r>
  </si>
  <si>
    <r>
      <t>E</t>
    </r>
    <r>
      <rPr>
        <vertAlign val="subscript"/>
        <sz val="10"/>
        <rFont val="Arial"/>
        <family val="2"/>
      </rPr>
      <t>solv</t>
    </r>
    <r>
      <rPr>
        <sz val="10"/>
        <rFont val="Arial"/>
        <family val="2"/>
      </rPr>
      <t xml:space="preserve">, </t>
    </r>
    <r>
      <rPr>
        <sz val="10"/>
        <rFont val="Arial"/>
        <family val="0"/>
      </rPr>
      <t>cation</t>
    </r>
  </si>
  <si>
    <r>
      <t>D</t>
    </r>
    <r>
      <rPr>
        <i/>
        <sz val="10"/>
        <rFont val="Arial"/>
        <family val="2"/>
      </rPr>
      <t>H°</t>
    </r>
    <r>
      <rPr>
        <vertAlign val="subscript"/>
        <sz val="10"/>
        <rFont val="Arial"/>
        <family val="2"/>
      </rPr>
      <t>electron gain</t>
    </r>
  </si>
  <si>
    <r>
      <t>EA</t>
    </r>
    <r>
      <rPr>
        <vertAlign val="subscript"/>
        <sz val="10"/>
        <rFont val="Arial"/>
        <family val="2"/>
      </rPr>
      <t>1, 2, 3, &amp; 4</t>
    </r>
  </si>
  <si>
    <r>
      <t>E</t>
    </r>
    <r>
      <rPr>
        <vertAlign val="subscript"/>
        <sz val="10"/>
        <rFont val="Arial"/>
        <family val="2"/>
      </rPr>
      <t>solv</t>
    </r>
    <r>
      <rPr>
        <sz val="10"/>
        <rFont val="Arial"/>
        <family val="2"/>
      </rPr>
      <t xml:space="preserve">, </t>
    </r>
    <r>
      <rPr>
        <sz val="10"/>
        <rFont val="Arial"/>
        <family val="0"/>
      </rPr>
      <t>anion</t>
    </r>
  </si>
  <si>
    <r>
      <t xml:space="preserve">separation, </t>
    </r>
    <r>
      <rPr>
        <i/>
        <sz val="10"/>
        <rFont val="Arial"/>
        <family val="2"/>
      </rPr>
      <t>d</t>
    </r>
    <r>
      <rPr>
        <sz val="10"/>
        <rFont val="Times New Roman"/>
        <family val="1"/>
      </rPr>
      <t xml:space="preserve"> = </t>
    </r>
    <r>
      <rPr>
        <i/>
        <sz val="10"/>
        <rFont val="Times New Roman"/>
        <family val="1"/>
      </rPr>
      <t>r</t>
    </r>
    <r>
      <rPr>
        <vertAlign val="superscript"/>
        <sz val="10"/>
        <rFont val="Times New Roman"/>
        <family val="1"/>
      </rPr>
      <t>+</t>
    </r>
    <r>
      <rPr>
        <sz val="10"/>
        <rFont val="Times New Roman"/>
        <family val="1"/>
      </rPr>
      <t xml:space="preserve"> + </t>
    </r>
    <r>
      <rPr>
        <i/>
        <sz val="10"/>
        <rFont val="Times New Roman"/>
        <family val="1"/>
      </rPr>
      <t>r</t>
    </r>
    <r>
      <rPr>
        <vertAlign val="superscript"/>
        <sz val="10"/>
        <rFont val="Times New Roman"/>
        <family val="1"/>
      </rPr>
      <t>–</t>
    </r>
  </si>
  <si>
    <r>
      <t>-D</t>
    </r>
    <r>
      <rPr>
        <i/>
        <sz val="10"/>
        <rFont val="Arial"/>
        <family val="2"/>
      </rPr>
      <t>H°</t>
    </r>
    <r>
      <rPr>
        <vertAlign val="subscript"/>
        <sz val="10"/>
        <rFont val="Arial"/>
        <family val="2"/>
      </rPr>
      <t>lattice</t>
    </r>
  </si>
  <si>
    <r>
      <t>D</t>
    </r>
    <r>
      <rPr>
        <i/>
        <sz val="10"/>
        <rFont val="Arial"/>
        <family val="2"/>
      </rPr>
      <t>H°</t>
    </r>
    <r>
      <rPr>
        <vertAlign val="subscript"/>
        <sz val="10"/>
        <rFont val="Arial"/>
        <family val="2"/>
      </rPr>
      <t>hydration</t>
    </r>
  </si>
  <si>
    <r>
      <t>D</t>
    </r>
    <r>
      <rPr>
        <i/>
        <sz val="10"/>
        <rFont val="Arial"/>
        <family val="2"/>
      </rPr>
      <t>H</t>
    </r>
    <r>
      <rPr>
        <vertAlign val="subscript"/>
        <sz val="10"/>
        <rFont val="Arial"/>
        <family val="2"/>
      </rPr>
      <t>formation</t>
    </r>
    <r>
      <rPr>
        <sz val="10"/>
        <rFont val="Arial"/>
        <family val="0"/>
      </rPr>
      <t xml:space="preserve"> </t>
    </r>
  </si>
  <si>
    <r>
      <t>D</t>
    </r>
    <r>
      <rPr>
        <i/>
        <sz val="10"/>
        <rFont val="Arial"/>
        <family val="2"/>
      </rPr>
      <t>H°</t>
    </r>
    <r>
      <rPr>
        <vertAlign val="subscript"/>
        <sz val="10"/>
        <rFont val="Arial"/>
        <family val="2"/>
      </rPr>
      <t>solution</t>
    </r>
  </si>
  <si>
    <r>
      <t>D</t>
    </r>
    <r>
      <rPr>
        <i/>
        <sz val="10"/>
        <rFont val="Arial"/>
        <family val="2"/>
      </rPr>
      <t>H</t>
    </r>
    <r>
      <rPr>
        <vertAlign val="subscript"/>
        <sz val="10"/>
        <rFont val="Arial"/>
        <family val="2"/>
      </rPr>
      <t>f</t>
    </r>
    <r>
      <rPr>
        <sz val="10"/>
        <rFont val="Arial"/>
        <family val="0"/>
      </rPr>
      <t>°(298.15) of monoatomic gaseous element</t>
    </r>
  </si>
  <si>
    <r>
      <t>N</t>
    </r>
    <r>
      <rPr>
        <vertAlign val="subscript"/>
        <sz val="11"/>
        <rFont val="Times New Roman"/>
        <family val="1"/>
      </rPr>
      <t>A</t>
    </r>
    <r>
      <rPr>
        <i/>
        <sz val="11"/>
        <rFont val="Times New Roman"/>
        <family val="1"/>
      </rPr>
      <t>e</t>
    </r>
    <r>
      <rPr>
        <vertAlign val="superscript"/>
        <sz val="11"/>
        <rFont val="Times New Roman"/>
        <family val="1"/>
      </rPr>
      <t>2</t>
    </r>
    <r>
      <rPr>
        <sz val="11"/>
        <rFont val="Times New Roman"/>
        <family val="1"/>
      </rPr>
      <t>/(4</t>
    </r>
    <r>
      <rPr>
        <sz val="11"/>
        <rFont val="Symbol"/>
        <family val="1"/>
      </rPr>
      <t>pe</t>
    </r>
    <r>
      <rPr>
        <vertAlign val="subscript"/>
        <sz val="11"/>
        <rFont val="Times New Roman"/>
        <family val="1"/>
      </rPr>
      <t>0</t>
    </r>
    <r>
      <rPr>
        <sz val="11"/>
        <rFont val="Times New Roman"/>
        <family val="1"/>
      </rPr>
      <t>)</t>
    </r>
  </si>
  <si>
    <r>
      <t xml:space="preserve">lattice energy, </t>
    </r>
    <r>
      <rPr>
        <b/>
        <i/>
        <sz val="10"/>
        <rFont val="Times New Roman"/>
        <family val="1"/>
      </rPr>
      <t>V</t>
    </r>
  </si>
  <si>
    <r>
      <t xml:space="preserve">Lattice Energy </t>
    </r>
    <r>
      <rPr>
        <u val="single"/>
        <sz val="10"/>
        <color indexed="12"/>
        <rFont val="Symbol"/>
        <family val="1"/>
      </rPr>
      <t>®</t>
    </r>
  </si>
  <si>
    <r>
      <t>Born-Haber Cycle</t>
    </r>
    <r>
      <rPr>
        <u val="single"/>
        <sz val="10"/>
        <color indexed="12"/>
        <rFont val="Symbol"/>
        <family val="1"/>
      </rPr>
      <t xml:space="preserve"> ® ®</t>
    </r>
  </si>
  <si>
    <r>
      <t>Solution Enthalpy</t>
    </r>
    <r>
      <rPr>
        <u val="single"/>
        <sz val="10"/>
        <color indexed="12"/>
        <rFont val="Symbol"/>
        <family val="1"/>
      </rPr>
      <t xml:space="preserve"> ® ® ®</t>
    </r>
  </si>
  <si>
    <r>
      <t>TiO</t>
    </r>
    <r>
      <rPr>
        <vertAlign val="subscript"/>
        <sz val="10"/>
        <rFont val="Arial"/>
        <family val="2"/>
      </rPr>
      <t>2</t>
    </r>
    <r>
      <rPr>
        <sz val="10"/>
        <rFont val="Arial"/>
        <family val="0"/>
      </rPr>
      <t xml:space="preserve"> (r</t>
    </r>
    <r>
      <rPr>
        <sz val="10"/>
        <rFont val="Arial"/>
        <family val="2"/>
      </rPr>
      <t>util</t>
    </r>
    <r>
      <rPr>
        <sz val="10"/>
        <rFont val="Arial"/>
        <family val="0"/>
      </rPr>
      <t>e)</t>
    </r>
  </si>
  <si>
    <r>
      <t>CaF</t>
    </r>
    <r>
      <rPr>
        <vertAlign val="subscript"/>
        <sz val="10"/>
        <rFont val="Arial"/>
        <family val="2"/>
      </rPr>
      <t>2</t>
    </r>
    <r>
      <rPr>
        <sz val="10"/>
        <rFont val="Arial"/>
        <family val="2"/>
      </rPr>
      <t xml:space="preserve"> (fluorite)</t>
    </r>
  </si>
  <si>
    <r>
      <t>SiO</t>
    </r>
    <r>
      <rPr>
        <vertAlign val="subscript"/>
        <sz val="10"/>
        <rFont val="Arial"/>
        <family val="2"/>
      </rPr>
      <t>2</t>
    </r>
    <r>
      <rPr>
        <sz val="10"/>
        <rFont val="Arial"/>
        <family val="0"/>
      </rPr>
      <t xml:space="preserve"> (</t>
    </r>
    <r>
      <rPr>
        <sz val="10"/>
        <rFont val="Symbol"/>
        <family val="1"/>
      </rPr>
      <t>b</t>
    </r>
    <r>
      <rPr>
        <sz val="10"/>
        <rFont val="Arial"/>
        <family val="0"/>
      </rPr>
      <t>-quartz)</t>
    </r>
  </si>
  <si>
    <r>
      <t>CdI</t>
    </r>
    <r>
      <rPr>
        <vertAlign val="subscript"/>
        <sz val="10"/>
        <rFont val="Arial"/>
        <family val="0"/>
      </rPr>
      <t>2</t>
    </r>
  </si>
  <si>
    <r>
      <t>K</t>
    </r>
    <r>
      <rPr>
        <vertAlign val="subscript"/>
        <sz val="10"/>
        <rFont val="Arial"/>
        <family val="0"/>
      </rPr>
      <t>2</t>
    </r>
    <r>
      <rPr>
        <sz val="10"/>
        <rFont val="Arial"/>
        <family val="0"/>
      </rPr>
      <t>O</t>
    </r>
    <r>
      <rPr>
        <sz val="10"/>
        <rFont val="Arial"/>
        <family val="2"/>
      </rPr>
      <t xml:space="preserve"> (antifluorite)</t>
    </r>
  </si>
  <si>
    <r>
      <t>Cu</t>
    </r>
    <r>
      <rPr>
        <vertAlign val="subscript"/>
        <sz val="10"/>
        <rFont val="Arial"/>
        <family val="0"/>
      </rPr>
      <t>2</t>
    </r>
    <r>
      <rPr>
        <sz val="10"/>
        <rFont val="Arial"/>
        <family val="0"/>
      </rPr>
      <t>O</t>
    </r>
  </si>
  <si>
    <r>
      <t>Al</t>
    </r>
    <r>
      <rPr>
        <vertAlign val="subscript"/>
        <sz val="10"/>
        <rFont val="Arial"/>
        <family val="2"/>
      </rPr>
      <t>2</t>
    </r>
    <r>
      <rPr>
        <sz val="10"/>
        <rFont val="Arial"/>
        <family val="0"/>
      </rPr>
      <t>O</t>
    </r>
    <r>
      <rPr>
        <vertAlign val="subscript"/>
        <sz val="10"/>
        <rFont val="Arial"/>
        <family val="2"/>
      </rPr>
      <t>3</t>
    </r>
    <r>
      <rPr>
        <sz val="10"/>
        <rFont val="Arial"/>
        <family val="0"/>
      </rPr>
      <t xml:space="preserve"> (corundum)</t>
    </r>
  </si>
  <si>
    <r>
      <t xml:space="preserve">cap M(s) + </t>
    </r>
    <r>
      <rPr>
        <vertAlign val="superscript"/>
        <sz val="10"/>
        <rFont val="Arial"/>
        <family val="2"/>
      </rPr>
      <t>1</t>
    </r>
    <r>
      <rPr>
        <sz val="10"/>
        <rFont val="Arial"/>
        <family val="0"/>
      </rPr>
      <t>/</t>
    </r>
    <r>
      <rPr>
        <vertAlign val="subscript"/>
        <sz val="10"/>
        <rFont val="Arial"/>
        <family val="2"/>
      </rPr>
      <t>n</t>
    </r>
    <r>
      <rPr>
        <sz val="10"/>
        <rFont val="Arial"/>
        <family val="0"/>
      </rPr>
      <t>X</t>
    </r>
    <r>
      <rPr>
        <vertAlign val="subscript"/>
        <sz val="10"/>
        <rFont val="Arial"/>
        <family val="2"/>
      </rPr>
      <t>n</t>
    </r>
    <r>
      <rPr>
        <sz val="10"/>
        <rFont val="Arial"/>
        <family val="0"/>
      </rPr>
      <t>(s)</t>
    </r>
  </si>
  <si>
    <r>
      <t>BiF</t>
    </r>
    <r>
      <rPr>
        <vertAlign val="subscript"/>
        <sz val="10"/>
        <rFont val="Arial"/>
        <family val="0"/>
      </rPr>
      <t>3</t>
    </r>
  </si>
  <si>
    <r>
      <t xml:space="preserve">Source of </t>
    </r>
    <r>
      <rPr>
        <sz val="10"/>
        <rFont val="Symbol"/>
        <family val="1"/>
      </rPr>
      <t>D</t>
    </r>
    <r>
      <rPr>
        <i/>
        <sz val="10"/>
        <rFont val="Arial"/>
        <family val="2"/>
      </rPr>
      <t>H</t>
    </r>
    <r>
      <rPr>
        <vertAlign val="subscript"/>
        <sz val="10"/>
        <rFont val="Arial"/>
        <family val="2"/>
      </rPr>
      <t>f</t>
    </r>
  </si>
  <si>
    <r>
      <t>Bold</t>
    </r>
    <r>
      <rPr>
        <sz val="10"/>
        <rFont val="Arial"/>
        <family val="2"/>
      </rPr>
      <t xml:space="preserve"> entries are linked to Born-Haber cycle data.</t>
    </r>
  </si>
  <si>
    <r>
      <t xml:space="preserve">cap M(g) + </t>
    </r>
    <r>
      <rPr>
        <vertAlign val="superscript"/>
        <sz val="10"/>
        <rFont val="Arial"/>
        <family val="2"/>
      </rPr>
      <t>1</t>
    </r>
    <r>
      <rPr>
        <sz val="10"/>
        <rFont val="Arial"/>
        <family val="0"/>
      </rPr>
      <t>/</t>
    </r>
    <r>
      <rPr>
        <vertAlign val="subscript"/>
        <sz val="10"/>
        <rFont val="Arial"/>
        <family val="2"/>
      </rPr>
      <t>n</t>
    </r>
    <r>
      <rPr>
        <sz val="10"/>
        <rFont val="Arial"/>
        <family val="0"/>
      </rPr>
      <t>X</t>
    </r>
    <r>
      <rPr>
        <vertAlign val="subscript"/>
        <sz val="10"/>
        <rFont val="Arial"/>
        <family val="2"/>
      </rPr>
      <t>n</t>
    </r>
    <r>
      <rPr>
        <sz val="10"/>
        <rFont val="Arial"/>
        <family val="0"/>
      </rPr>
      <t>(s)</t>
    </r>
  </si>
  <si>
    <r>
      <t>cap M(g)</t>
    </r>
    <r>
      <rPr>
        <vertAlign val="superscript"/>
        <sz val="10"/>
        <rFont val="Arial"/>
        <family val="2"/>
      </rPr>
      <t>+</t>
    </r>
    <r>
      <rPr>
        <sz val="10"/>
        <rFont val="Arial"/>
        <family val="0"/>
      </rPr>
      <t xml:space="preserve"> + e</t>
    </r>
    <r>
      <rPr>
        <vertAlign val="superscript"/>
        <sz val="10"/>
        <rFont val="Arial"/>
        <family val="2"/>
      </rPr>
      <t>–</t>
    </r>
    <r>
      <rPr>
        <sz val="10"/>
        <rFont val="Arial"/>
        <family val="0"/>
      </rPr>
      <t xml:space="preserve">(g) + </t>
    </r>
    <r>
      <rPr>
        <vertAlign val="superscript"/>
        <sz val="10"/>
        <rFont val="Arial"/>
        <family val="2"/>
      </rPr>
      <t>1</t>
    </r>
    <r>
      <rPr>
        <sz val="10"/>
        <rFont val="Arial"/>
        <family val="0"/>
      </rPr>
      <t>/</t>
    </r>
    <r>
      <rPr>
        <vertAlign val="subscript"/>
        <sz val="10"/>
        <rFont val="Arial"/>
        <family val="2"/>
      </rPr>
      <t>n</t>
    </r>
    <r>
      <rPr>
        <sz val="10"/>
        <rFont val="Arial"/>
        <family val="0"/>
      </rPr>
      <t>X</t>
    </r>
    <r>
      <rPr>
        <vertAlign val="subscript"/>
        <sz val="10"/>
        <rFont val="Arial"/>
        <family val="2"/>
      </rPr>
      <t>n</t>
    </r>
    <r>
      <rPr>
        <sz val="10"/>
        <rFont val="Arial"/>
        <family val="0"/>
      </rPr>
      <t>(s)</t>
    </r>
  </si>
  <si>
    <r>
      <t>cap M(g)</t>
    </r>
    <r>
      <rPr>
        <vertAlign val="superscript"/>
        <sz val="10"/>
        <rFont val="Arial"/>
        <family val="2"/>
      </rPr>
      <t>+</t>
    </r>
    <r>
      <rPr>
        <sz val="10"/>
        <rFont val="Arial"/>
        <family val="0"/>
      </rPr>
      <t xml:space="preserve"> + e</t>
    </r>
    <r>
      <rPr>
        <vertAlign val="superscript"/>
        <sz val="10"/>
        <rFont val="Arial"/>
        <family val="2"/>
      </rPr>
      <t>–</t>
    </r>
    <r>
      <rPr>
        <sz val="10"/>
        <rFont val="Arial"/>
        <family val="0"/>
      </rPr>
      <t>(g) + X(g)</t>
    </r>
  </si>
  <si>
    <r>
      <t>cap M(g)</t>
    </r>
    <r>
      <rPr>
        <vertAlign val="superscript"/>
        <sz val="10"/>
        <rFont val="Arial"/>
        <family val="2"/>
      </rPr>
      <t>+</t>
    </r>
    <r>
      <rPr>
        <sz val="10"/>
        <rFont val="Arial"/>
        <family val="0"/>
      </rPr>
      <t xml:space="preserve"> + X</t>
    </r>
    <r>
      <rPr>
        <vertAlign val="superscript"/>
        <sz val="10"/>
        <rFont val="Arial"/>
        <family val="2"/>
      </rPr>
      <t>–</t>
    </r>
    <r>
      <rPr>
        <sz val="10"/>
        <rFont val="Arial"/>
        <family val="0"/>
      </rPr>
      <t>(g)</t>
    </r>
  </si>
  <si>
    <r>
      <t>The button may be needed when a crystal structure is selected that changes the stoichiometry (e</t>
    </r>
    <r>
      <rPr>
        <vertAlign val="subscript"/>
        <sz val="10"/>
        <rFont val="Arial"/>
        <family val="0"/>
      </rPr>
      <t>.</t>
    </r>
    <r>
      <rPr>
        <sz val="10"/>
        <rFont val="Arial"/>
        <family val="0"/>
      </rPr>
      <t>g</t>
    </r>
    <r>
      <rPr>
        <vertAlign val="subscript"/>
        <sz val="10"/>
        <rFont val="Arial"/>
        <family val="0"/>
      </rPr>
      <t>.</t>
    </r>
    <r>
      <rPr>
        <sz val="10"/>
        <rFont val="Arial"/>
        <family val="0"/>
      </rPr>
      <t>, changing from MX to MX</t>
    </r>
    <r>
      <rPr>
        <vertAlign val="subscript"/>
        <sz val="10"/>
        <rFont val="Arial"/>
        <family val="0"/>
      </rPr>
      <t>2</t>
    </r>
    <r>
      <rPr>
        <sz val="10"/>
        <rFont val="Arial"/>
        <family val="0"/>
      </rPr>
      <t>).</t>
    </r>
  </si>
  <si>
    <r>
      <t xml:space="preserve">The </t>
    </r>
    <r>
      <rPr>
        <i/>
        <sz val="10"/>
        <color indexed="60"/>
        <rFont val="Arial"/>
        <family val="2"/>
      </rPr>
      <t>lattice energy sheet is protected</t>
    </r>
    <r>
      <rPr>
        <sz val="10"/>
        <rFont val="Arial"/>
        <family val="0"/>
      </rPr>
      <t xml:space="preserve"> (</t>
    </r>
    <r>
      <rPr>
        <b/>
        <u val="single"/>
        <sz val="10"/>
        <rFont val="Arial"/>
        <family val="2"/>
      </rPr>
      <t>T</t>
    </r>
    <r>
      <rPr>
        <b/>
        <sz val="10"/>
        <rFont val="Arial"/>
        <family val="2"/>
      </rPr>
      <t>ools/</t>
    </r>
    <r>
      <rPr>
        <b/>
        <u val="single"/>
        <sz val="10"/>
        <rFont val="Arial"/>
        <family val="2"/>
      </rPr>
      <t>P</t>
    </r>
    <r>
      <rPr>
        <b/>
        <sz val="10"/>
        <rFont val="Arial"/>
        <family val="2"/>
      </rPr>
      <t>rotection</t>
    </r>
    <r>
      <rPr>
        <sz val="10"/>
        <rFont val="Arial"/>
        <family val="2"/>
      </rPr>
      <t>)</t>
    </r>
    <r>
      <rPr>
        <sz val="10"/>
        <rFont val="Arial"/>
        <family val="0"/>
      </rPr>
      <t>, so that formulas won't be changed.  However, no password is used.</t>
    </r>
  </si>
  <si>
    <r>
      <t>Start with rock salt; go to sphalerite or wurtzite.  (Be</t>
    </r>
    <r>
      <rPr>
        <vertAlign val="superscript"/>
        <sz val="10"/>
        <rFont val="Arial"/>
        <family val="0"/>
      </rPr>
      <t>2+</t>
    </r>
    <r>
      <rPr>
        <sz val="10"/>
        <rFont val="Arial"/>
        <family val="0"/>
      </rPr>
      <t xml:space="preserve"> is still too large for this structure, according to the radius 
     ratios, but no smaller structure is available</t>
    </r>
    <r>
      <rPr>
        <vertAlign val="subscript"/>
        <sz val="10"/>
        <rFont val="Arial"/>
        <family val="0"/>
      </rPr>
      <t>.</t>
    </r>
    <r>
      <rPr>
        <sz val="10"/>
        <rFont val="Arial"/>
        <family val="0"/>
      </rPr>
      <t>)</t>
    </r>
  </si>
  <si>
    <r>
      <t>Move over to the Lattice Energy region of the sheet.  The lattice energy is</t>
    </r>
    <r>
      <rPr>
        <b/>
        <sz val="10"/>
        <rFont val="Arial"/>
        <family val="2"/>
      </rPr>
      <t xml:space="preserve"> -619 kJ/mol</t>
    </r>
    <r>
      <rPr>
        <sz val="10"/>
        <rFont val="Arial"/>
        <family val="2"/>
      </rPr>
      <t>.</t>
    </r>
  </si>
  <si>
    <r>
      <t>Go back and select 6-coordinate K</t>
    </r>
    <r>
      <rPr>
        <vertAlign val="superscript"/>
        <sz val="10"/>
        <rFont val="Arial"/>
        <family val="0"/>
      </rPr>
      <t>+</t>
    </r>
    <r>
      <rPr>
        <sz val="10"/>
        <rFont val="Arial"/>
        <family val="0"/>
      </rPr>
      <t xml:space="preserve"> and Br</t>
    </r>
    <r>
      <rPr>
        <vertAlign val="superscript"/>
        <sz val="10"/>
        <rFont val="Arial"/>
        <family val="0"/>
      </rPr>
      <t>-</t>
    </r>
    <r>
      <rPr>
        <sz val="10"/>
        <rFont val="Arial"/>
        <family val="0"/>
      </rPr>
      <t>.</t>
    </r>
  </si>
  <si>
    <r>
      <t xml:space="preserve">The lattice energy is more favorable, </t>
    </r>
    <r>
      <rPr>
        <b/>
        <sz val="10"/>
        <rFont val="Arial"/>
        <family val="2"/>
      </rPr>
      <t>-652 kJ/mol</t>
    </r>
    <r>
      <rPr>
        <sz val="10"/>
        <rFont val="Arial"/>
        <family val="2"/>
      </rPr>
      <t>.</t>
    </r>
  </si>
  <si>
    <r>
      <t xml:space="preserve">The values of the constants, </t>
    </r>
    <r>
      <rPr>
        <i/>
        <sz val="10"/>
        <rFont val="Arial"/>
        <family val="2"/>
      </rPr>
      <t>d*</t>
    </r>
    <r>
      <rPr>
        <sz val="10"/>
        <rFont val="Arial"/>
        <family val="2"/>
      </rPr>
      <t xml:space="preserve"> and </t>
    </r>
    <r>
      <rPr>
        <i/>
        <sz val="11"/>
        <rFont val="Times New Roman"/>
        <family val="1"/>
      </rPr>
      <t>N</t>
    </r>
    <r>
      <rPr>
        <vertAlign val="subscript"/>
        <sz val="11"/>
        <rFont val="Times New Roman"/>
        <family val="1"/>
      </rPr>
      <t>A</t>
    </r>
    <r>
      <rPr>
        <i/>
        <sz val="11"/>
        <rFont val="Times New Roman"/>
        <family val="1"/>
      </rPr>
      <t>e</t>
    </r>
    <r>
      <rPr>
        <vertAlign val="superscript"/>
        <sz val="11"/>
        <rFont val="Times New Roman"/>
        <family val="1"/>
      </rPr>
      <t>2</t>
    </r>
    <r>
      <rPr>
        <sz val="11"/>
        <rFont val="Times New Roman"/>
        <family val="1"/>
      </rPr>
      <t>/(4</t>
    </r>
    <r>
      <rPr>
        <sz val="11"/>
        <rFont val="Symbol"/>
        <family val="1"/>
      </rPr>
      <t>pe</t>
    </r>
    <r>
      <rPr>
        <vertAlign val="subscript"/>
        <sz val="11"/>
        <rFont val="Times New Roman"/>
        <family val="1"/>
      </rPr>
      <t>0</t>
    </r>
    <r>
      <rPr>
        <sz val="11"/>
        <rFont val="Times New Roman"/>
        <family val="1"/>
      </rPr>
      <t>)</t>
    </r>
    <r>
      <rPr>
        <sz val="10"/>
        <rFont val="Arial"/>
        <family val="2"/>
      </rPr>
      <t>, are given.</t>
    </r>
  </si>
  <si>
    <r>
      <t>ClCl</t>
    </r>
    <r>
      <rPr>
        <vertAlign val="subscript"/>
        <sz val="10"/>
        <rFont val="Arial"/>
        <family val="0"/>
      </rPr>
      <t>7</t>
    </r>
  </si>
  <si>
    <r>
      <t xml:space="preserve">The security level must be set to low or medium to run the macros in this workbook.  The security level may be changed from the menu </t>
    </r>
    <r>
      <rPr>
        <b/>
        <u val="single"/>
        <sz val="10"/>
        <rFont val="Arial"/>
        <family val="2"/>
      </rPr>
      <t>T</t>
    </r>
    <r>
      <rPr>
        <b/>
        <sz val="10"/>
        <rFont val="Arial"/>
        <family val="2"/>
      </rPr>
      <t>ools/</t>
    </r>
    <r>
      <rPr>
        <b/>
        <u val="single"/>
        <sz val="10"/>
        <rFont val="Arial"/>
        <family val="2"/>
      </rPr>
      <t>M</t>
    </r>
    <r>
      <rPr>
        <b/>
        <sz val="10"/>
        <rFont val="Arial"/>
        <family val="2"/>
      </rPr>
      <t>acro/</t>
    </r>
    <r>
      <rPr>
        <b/>
        <u val="single"/>
        <sz val="10"/>
        <rFont val="Arial"/>
        <family val="2"/>
      </rPr>
      <t>S</t>
    </r>
    <r>
      <rPr>
        <b/>
        <sz val="10"/>
        <rFont val="Arial"/>
        <family val="2"/>
      </rPr>
      <t>ecurity...</t>
    </r>
    <r>
      <rPr>
        <sz val="10"/>
        <rFont val="Arial"/>
        <family val="2"/>
      </rPr>
      <t xml:space="preserve">.  Changes to the security level will take effect the </t>
    </r>
    <r>
      <rPr>
        <b/>
        <sz val="10"/>
        <rFont val="Arial"/>
        <family val="2"/>
      </rPr>
      <t>next</t>
    </r>
    <r>
      <rPr>
        <sz val="10"/>
        <rFont val="Arial"/>
        <family val="2"/>
      </rPr>
      <t xml:space="preserve"> time the current workbook is opened (so close it and reopen it).</t>
    </r>
  </si>
  <si>
    <r>
      <t xml:space="preserve">Gridlines are turned on on the Lattice Energy sheet.  This is to emphasize that these are spreadsheet calculations, not from a black box.
     However, gridlines may be turned off on each sheet for a cleaner display from </t>
    </r>
    <r>
      <rPr>
        <b/>
        <u val="single"/>
        <sz val="10"/>
        <rFont val="Arial"/>
        <family val="2"/>
      </rPr>
      <t>T</t>
    </r>
    <r>
      <rPr>
        <b/>
        <sz val="10"/>
        <rFont val="Arial"/>
        <family val="2"/>
      </rPr>
      <t>ools/</t>
    </r>
    <r>
      <rPr>
        <b/>
        <u val="single"/>
        <sz val="10"/>
        <rFont val="Arial"/>
        <family val="2"/>
      </rPr>
      <t>O</t>
    </r>
    <r>
      <rPr>
        <b/>
        <sz val="10"/>
        <rFont val="Arial"/>
        <family val="2"/>
      </rPr>
      <t>ptions</t>
    </r>
    <r>
      <rPr>
        <sz val="10"/>
        <rFont val="Arial"/>
        <family val="2"/>
      </rPr>
      <t xml:space="preserve"> menu, on the </t>
    </r>
    <r>
      <rPr>
        <b/>
        <sz val="10"/>
        <rFont val="Arial"/>
        <family val="2"/>
      </rPr>
      <t>View</t>
    </r>
    <r>
      <rPr>
        <sz val="10"/>
        <rFont val="Arial"/>
        <family val="2"/>
      </rPr>
      <t xml:space="preserve"> tab.</t>
    </r>
  </si>
  <si>
    <r>
      <t xml:space="preserve">The greater the difference in size between anion and cation, the greater the solubility.  The solvation energies calculated on the "Lattice Energy" sheet can be used to illustrate trends, though the actual numbers are not that accurate, and way off for +/-2 ions.  A possible student project would be to explain the trend in water solubilities of lithium halides, as listed in the </t>
    </r>
    <r>
      <rPr>
        <i/>
        <sz val="10"/>
        <rFont val="Arial"/>
        <family val="2"/>
      </rPr>
      <t>CRC</t>
    </r>
    <r>
      <rPr>
        <sz val="10"/>
        <rFont val="Arial"/>
        <family val="0"/>
      </rPr>
      <t xml:space="preserve"> (see data below).  This trend may be rationalized by the trend in solvation enthalpies and the ratio of ion sizes. </t>
    </r>
  </si>
  <si>
    <t>Electronegativities</t>
  </si>
  <si>
    <t>Cation</t>
  </si>
  <si>
    <t>Anion</t>
  </si>
  <si>
    <t>atomic numbers</t>
  </si>
  <si>
    <t>Principle quantum number</t>
  </si>
  <si>
    <t>Cmpd.</t>
  </si>
  <si>
    <t>Dc</t>
  </si>
  <si>
    <t>n, average</t>
  </si>
  <si>
    <t>Your compound:</t>
  </si>
  <si>
    <t>Ti</t>
  </si>
  <si>
    <t>O</t>
  </si>
  <si>
    <t>This plot shows that compounds with coordination numbers (C.N.) of 4, 6, and 8 are fairly well separated.  The solid line represents the boundary between compounds having C.N. 4 and 6.</t>
  </si>
  <si>
    <t>Notes about the Structure Maps</t>
  </si>
  <si>
    <t>Cesium Chloride structures, coordination numbers 8, 8</t>
  </si>
  <si>
    <t>Nickel Arsenide structures, coordination numbers 6, 6, transition metals</t>
  </si>
  <si>
    <t>+1</t>
  </si>
  <si>
    <t>Cs</t>
  </si>
  <si>
    <t>Cl</t>
  </si>
  <si>
    <t>Group 14-15 and 14-16 compounds, coordination numbers 6, 6</t>
  </si>
  <si>
    <t>Br</t>
  </si>
  <si>
    <t>+2</t>
  </si>
  <si>
    <t>Cr</t>
  </si>
  <si>
    <t>S</t>
  </si>
  <si>
    <t>I</t>
  </si>
  <si>
    <t>Fe</t>
  </si>
  <si>
    <t>Ge</t>
  </si>
  <si>
    <t>P</t>
  </si>
  <si>
    <t>Rb</t>
  </si>
  <si>
    <t>V</t>
  </si>
  <si>
    <t>Sn</t>
  </si>
  <si>
    <t>Tl</t>
  </si>
  <si>
    <t>Se</t>
  </si>
  <si>
    <t>As</t>
  </si>
  <si>
    <t>Co</t>
  </si>
  <si>
    <t>Te</t>
  </si>
  <si>
    <t>Ni</t>
  </si>
  <si>
    <t>+3</t>
  </si>
  <si>
    <t>Pb</t>
  </si>
  <si>
    <t>Rock Salt structures, coordination numbers 6, 6</t>
  </si>
  <si>
    <t>Sb</t>
  </si>
  <si>
    <t>Li</t>
  </si>
  <si>
    <t>F</t>
  </si>
  <si>
    <t>Other C.N. 4 structures</t>
  </si>
  <si>
    <t>Mn</t>
  </si>
  <si>
    <t>Cu</t>
  </si>
  <si>
    <t>H</t>
  </si>
  <si>
    <t>Na</t>
  </si>
  <si>
    <t>Hydrides, rock salt</t>
  </si>
  <si>
    <t>K</t>
  </si>
  <si>
    <t>Rock Salt structures, coordination numbers 6, 6, transition metals</t>
  </si>
  <si>
    <t>Zr</t>
  </si>
  <si>
    <t>Hf</t>
  </si>
  <si>
    <t>Nb</t>
  </si>
  <si>
    <t>Ta</t>
  </si>
  <si>
    <t>Ag</t>
  </si>
  <si>
    <t>Ca</t>
  </si>
  <si>
    <t>Pa</t>
  </si>
  <si>
    <t>Mg</t>
  </si>
  <si>
    <t>Eu</t>
  </si>
  <si>
    <t>Am</t>
  </si>
  <si>
    <t>Sc</t>
  </si>
  <si>
    <t>N</t>
  </si>
  <si>
    <t>Y</t>
  </si>
  <si>
    <t>Sr</t>
  </si>
  <si>
    <t>Np</t>
  </si>
  <si>
    <t>Pu</t>
  </si>
  <si>
    <t>Ba</t>
  </si>
  <si>
    <t>Th</t>
  </si>
  <si>
    <t>U</t>
  </si>
  <si>
    <t>C</t>
  </si>
  <si>
    <t>Cd</t>
  </si>
  <si>
    <t>In</t>
  </si>
  <si>
    <t>Sphalerite (zinc blende) structures, coordination numbers 4, 4</t>
  </si>
  <si>
    <t>Ce</t>
  </si>
  <si>
    <t>Sm</t>
  </si>
  <si>
    <t>Hg</t>
  </si>
  <si>
    <t>Be</t>
  </si>
  <si>
    <t>B</t>
  </si>
  <si>
    <t>Bi</t>
  </si>
  <si>
    <t>Al</t>
  </si>
  <si>
    <t>Other C.N. 4 structures, transition metals</t>
  </si>
  <si>
    <t>Ga</t>
  </si>
  <si>
    <t>Pd</t>
  </si>
  <si>
    <t>Pt</t>
  </si>
  <si>
    <t>Wurtzite structures, coordination numbers 4, 4</t>
  </si>
  <si>
    <t>Dividing Line between C.N. 4 and 6</t>
  </si>
  <si>
    <t>Zn</t>
  </si>
  <si>
    <t>Compounds having both sphalerite and wurtzite structures</t>
  </si>
  <si>
    <t>Si</t>
  </si>
  <si>
    <t>Electronegativity</t>
  </si>
  <si>
    <t>Z</t>
  </si>
  <si>
    <t>Element</t>
  </si>
  <si>
    <t>Principle Quantum Number</t>
  </si>
  <si>
    <t>Gordy &amp; Thomas</t>
  </si>
  <si>
    <t>Pauling</t>
  </si>
  <si>
    <t>He</t>
  </si>
  <si>
    <t>Ne</t>
  </si>
  <si>
    <t>Ar</t>
  </si>
  <si>
    <t>V(IV); V(V) is 1.9.</t>
  </si>
  <si>
    <t>Cr(III); Cr(II) is 1.4; Cr(IV) is 2.2.</t>
  </si>
  <si>
    <t>Mn(II); Mn(III) is 1.5; Mn(VII) is 2.5.</t>
  </si>
  <si>
    <t>Fe(II); Fe(III) is 1.8.</t>
  </si>
  <si>
    <t>Cu(I); Cu(II) is 2.0.</t>
  </si>
  <si>
    <t>Zn(II)</t>
  </si>
  <si>
    <t>Kr</t>
  </si>
  <si>
    <t>Mo</t>
  </si>
  <si>
    <t>Mo(IV)</t>
  </si>
  <si>
    <t>Tc</t>
  </si>
  <si>
    <t>Tc(V); Tc(VII) is 2.3.</t>
  </si>
  <si>
    <t>Ru</t>
  </si>
  <si>
    <t>Rh</t>
  </si>
  <si>
    <t>Cd(II)</t>
  </si>
  <si>
    <t>Sn(II); Sn(IV) is 1.8.</t>
  </si>
  <si>
    <t>Sb(III); Sb(V) is 2.1.</t>
  </si>
  <si>
    <t>Xe</t>
  </si>
  <si>
    <t>La</t>
  </si>
  <si>
    <t>Pr</t>
  </si>
  <si>
    <t>Nd</t>
  </si>
  <si>
    <t>Pm</t>
  </si>
  <si>
    <t>Gd</t>
  </si>
  <si>
    <t>Tb</t>
  </si>
  <si>
    <t>Dy</t>
  </si>
  <si>
    <t>Ho</t>
  </si>
  <si>
    <t>Er</t>
  </si>
  <si>
    <t>Tm</t>
  </si>
  <si>
    <t>Yb</t>
  </si>
  <si>
    <t>Lu</t>
  </si>
  <si>
    <t>Ta(III); Ta(V) is 1.7.</t>
  </si>
  <si>
    <t>W</t>
  </si>
  <si>
    <t>W(IV); W(VI) is 2.0</t>
  </si>
  <si>
    <t>Re</t>
  </si>
  <si>
    <t>Re(V); Re(VII) is 2.2.</t>
  </si>
  <si>
    <t>Os</t>
  </si>
  <si>
    <t>Ir</t>
  </si>
  <si>
    <t>Au</t>
  </si>
  <si>
    <t>Hg(II)</t>
  </si>
  <si>
    <t>Tl(I); Tl(III) is 1.9.</t>
  </si>
  <si>
    <t>Pb(II); Pb(IV) is 1.8.</t>
  </si>
  <si>
    <t>Po</t>
  </si>
  <si>
    <t>At</t>
  </si>
  <si>
    <t>Rn</t>
  </si>
  <si>
    <t>Fr</t>
  </si>
  <si>
    <t>Ra</t>
  </si>
  <si>
    <t>Ac</t>
  </si>
  <si>
    <t>Th(II); Th(IV) is 1.4.</t>
  </si>
  <si>
    <t>Pa(III); Pa(V) is 1.7.</t>
  </si>
  <si>
    <t>U(IV); U(VI) is 1.9.</t>
  </si>
  <si>
    <t>Cm</t>
  </si>
  <si>
    <t>Bk</t>
  </si>
  <si>
    <t>Cf</t>
  </si>
  <si>
    <t>Es</t>
  </si>
  <si>
    <t>Fm</t>
  </si>
  <si>
    <t>Md</t>
  </si>
  <si>
    <t>No</t>
  </si>
  <si>
    <r>
      <t>c</t>
    </r>
    <r>
      <rPr>
        <sz val="10"/>
        <rFont val="Arial"/>
        <family val="2"/>
      </rPr>
      <t>, cation</t>
    </r>
  </si>
  <si>
    <r>
      <t>c</t>
    </r>
    <r>
      <rPr>
        <sz val="10"/>
        <rFont val="Arial"/>
        <family val="2"/>
      </rPr>
      <t>, anion</t>
    </r>
  </si>
  <si>
    <r>
      <t xml:space="preserve">The structure maps are described in Mooser, E.; Pearson, W.B. "On the Crystal Chemistry of Normal Valence Compounds", </t>
    </r>
    <r>
      <rPr>
        <i/>
        <sz val="10"/>
        <rFont val="Arial"/>
        <family val="2"/>
      </rPr>
      <t>Acta Cryst.</t>
    </r>
    <r>
      <rPr>
        <sz val="10"/>
        <rFont val="Arial"/>
        <family val="2"/>
      </rPr>
      <t xml:space="preserve">  </t>
    </r>
    <r>
      <rPr>
        <b/>
        <sz val="10"/>
        <rFont val="Arial"/>
        <family val="2"/>
      </rPr>
      <t>1959</t>
    </r>
    <r>
      <rPr>
        <sz val="10"/>
        <rFont val="Arial"/>
        <family val="2"/>
      </rPr>
      <t xml:space="preserve">, </t>
    </r>
    <r>
      <rPr>
        <i/>
        <sz val="10"/>
        <rFont val="Arial"/>
        <family val="2"/>
      </rPr>
      <t>12</t>
    </r>
    <r>
      <rPr>
        <sz val="10"/>
        <rFont val="Arial"/>
        <family val="2"/>
      </rPr>
      <t xml:space="preserve">, 1015-1022.  They plotted the average principle quantum number, </t>
    </r>
    <r>
      <rPr>
        <i/>
        <sz val="10"/>
        <rFont val="Arial"/>
        <family val="2"/>
      </rPr>
      <t>n</t>
    </r>
    <r>
      <rPr>
        <sz val="10"/>
        <rFont val="Arial"/>
        <family val="2"/>
      </rPr>
      <t xml:space="preserve">, vs. the difference in electronegativity, </t>
    </r>
    <r>
      <rPr>
        <sz val="10"/>
        <rFont val="Symbol"/>
        <family val="1"/>
      </rPr>
      <t>Dc</t>
    </r>
    <r>
      <rPr>
        <sz val="10"/>
        <rFont val="Arial"/>
        <family val="2"/>
      </rPr>
      <t xml:space="preserve">.  </t>
    </r>
  </si>
  <si>
    <t>The "Refresh Reactions" button does no calculations; it just updates the reactions shown on the sheet and graph.</t>
  </si>
  <si>
    <t>x ranges from 0.02 to 0.48</t>
  </si>
  <si>
    <t>end line</t>
  </si>
  <si>
    <t>?</t>
  </si>
  <si>
    <t>CODATA</t>
  </si>
  <si>
    <t>NBS</t>
  </si>
  <si>
    <t>s</t>
  </si>
  <si>
    <t>g</t>
  </si>
  <si>
    <t>State at 298 K (s, l, or g)</t>
  </si>
  <si>
    <t>M(g) forms</t>
  </si>
  <si>
    <t>Ion</t>
  </si>
  <si>
    <t>Binnewies</t>
  </si>
  <si>
    <t>Chase</t>
  </si>
  <si>
    <t>Standard state</t>
  </si>
  <si>
    <t>Standard state, 298 K</t>
  </si>
  <si>
    <t>NiAs</t>
  </si>
  <si>
    <t>8 (&amp; 6, distant)</t>
  </si>
  <si>
    <t>4 (&amp; 6, distant)</t>
  </si>
  <si>
    <t>Generic</t>
  </si>
  <si>
    <t>"Reduced"</t>
  </si>
  <si>
    <t>wurtzite</t>
  </si>
  <si>
    <t>sphalerite</t>
  </si>
  <si>
    <t>Uncertainty:</t>
  </si>
  <si>
    <t>The data were taken from their web site (the following link will take you there).</t>
  </si>
  <si>
    <t>MgO</t>
  </si>
  <si>
    <t>BaO</t>
  </si>
  <si>
    <t>CsI</t>
  </si>
  <si>
    <t>kJ pm/mol</t>
  </si>
  <si>
    <t>cap MX(s)</t>
  </si>
  <si>
    <t>a solid (also composed of 2 particles) has to be warmed</t>
  </si>
  <si>
    <t>CsBr</t>
  </si>
  <si>
    <t>NaBr</t>
  </si>
  <si>
    <t>NaI</t>
  </si>
  <si>
    <t>NaF</t>
  </si>
  <si>
    <t>KF</t>
  </si>
  <si>
    <t>KCl</t>
  </si>
  <si>
    <t>KBr</t>
  </si>
  <si>
    <t>KI</t>
  </si>
  <si>
    <t>RbF</t>
  </si>
  <si>
    <t>RbBr</t>
  </si>
  <si>
    <t>RbI</t>
  </si>
  <si>
    <t>Radii / pm</t>
  </si>
  <si>
    <t>dif squared</t>
  </si>
  <si>
    <t>experimental</t>
  </si>
  <si>
    <t>calc.-exp.</t>
  </si>
  <si>
    <t>&lt;-- to determine these</t>
  </si>
  <si>
    <t>Solver minimized this--&gt;</t>
  </si>
  <si>
    <t xml:space="preserve">&lt;-- Solver minimized this </t>
  </si>
  <si>
    <t>References</t>
  </si>
  <si>
    <t>Corrections to ion sizes / pm:</t>
  </si>
  <si>
    <t>Ionic Radii / pm</t>
  </si>
  <si>
    <t>Hydration enthalpy difference (anion - cation)</t>
  </si>
  <si>
    <t>Current compound:</t>
  </si>
  <si>
    <t>Example</t>
  </si>
  <si>
    <t>Jump over in
this sheet to:</t>
  </si>
  <si>
    <t>slightly soluble</t>
  </si>
  <si>
    <t>solubile</t>
  </si>
  <si>
    <t>Calculated Solvation</t>
  </si>
  <si>
    <t>Enthalpies, kJ/mol</t>
  </si>
  <si>
    <t>calc.</t>
  </si>
  <si>
    <t>Born Equation</t>
  </si>
  <si>
    <t>average absolute difference</t>
  </si>
  <si>
    <t>Experiment</t>
  </si>
  <si>
    <t>Because of the uncertainty in the calculated enthalpy of solution, its value is only shown on the spreadsheet for ions with charges of +/-1.</t>
  </si>
  <si>
    <t>Table 1 compares experimental and calculated lattice energies for alkali metal halides.  Calculated values are, on average, about 5% low.  This is mainly due to ignoring the contribution of covalent bonding in these compounds.</t>
  </si>
  <si>
    <t>Table 2.  Using Experimental Data to Calculate Parameters in the Born Hydration Energy Equation</t>
  </si>
  <si>
    <t>Table 1.  Comparison of Experimental &amp; Calculated Lattice Energies in kJ/mol</t>
  </si>
  <si>
    <t>Lattice Energy Accuracy</t>
  </si>
  <si>
    <t>Solvation Parameters</t>
  </si>
  <si>
    <t>The anion's charge is determined from the charge of the cation and the ratio of ions in the selected structure.</t>
  </si>
  <si>
    <t>Suggested Compounds</t>
  </si>
  <si>
    <t>LiLi</t>
  </si>
  <si>
    <t>Clicking on the "Paste Values" button causes the "Refresh Reactions" button's procedure to be run.</t>
  </si>
  <si>
    <t>ion</t>
  </si>
  <si>
    <t>difference</t>
  </si>
  <si>
    <t>Points for plotting straight line segments</t>
  </si>
  <si>
    <t>Solubility in water</t>
  </si>
  <si>
    <t>very soluble</t>
  </si>
  <si>
    <t>Refresh Button</t>
  </si>
  <si>
    <t>1)</t>
  </si>
  <si>
    <t>http://spectrum.troy.edu/~cking/</t>
  </si>
  <si>
    <t>WWW-MINCRYST</t>
  </si>
  <si>
    <t>http://database.iem.ac.ru/mincryst/</t>
  </si>
  <si>
    <r>
      <t xml:space="preserve">(Rather than using thermochemical radii of polyatomic ions to calculate lattice energies, a newer method uses "volume based thermodynamics".  For a "tutorial review" of that method, see "Predictive thermodynamics for condensed phases", Glasser, L.; Jenkins, H. D. B.  </t>
    </r>
    <r>
      <rPr>
        <i/>
        <sz val="10"/>
        <rFont val="Arial"/>
        <family val="2"/>
      </rPr>
      <t>Chem. Soc. Rev.</t>
    </r>
    <r>
      <rPr>
        <sz val="10"/>
        <rFont val="Arial"/>
        <family val="2"/>
      </rPr>
      <t xml:space="preserve">, </t>
    </r>
    <r>
      <rPr>
        <b/>
        <sz val="10"/>
        <rFont val="Arial"/>
        <family val="2"/>
      </rPr>
      <t>2005</t>
    </r>
    <r>
      <rPr>
        <sz val="10"/>
        <rFont val="Arial"/>
        <family val="2"/>
      </rPr>
      <t xml:space="preserve">, </t>
    </r>
    <r>
      <rPr>
        <i/>
        <sz val="10"/>
        <rFont val="Arial"/>
        <family val="2"/>
      </rPr>
      <t>34</t>
    </r>
    <r>
      <rPr>
        <sz val="10"/>
        <rFont val="Arial"/>
        <family val="2"/>
      </rPr>
      <t>, 866-874.)</t>
    </r>
  </si>
  <si>
    <t>"Dilithium crystals".  Students may remember these from the TV series, "Star Trek".</t>
  </si>
  <si>
    <r>
      <t>M</t>
    </r>
    <r>
      <rPr>
        <vertAlign val="superscript"/>
        <sz val="10"/>
        <rFont val="Arial"/>
        <family val="0"/>
      </rPr>
      <t>+</t>
    </r>
    <r>
      <rPr>
        <sz val="10"/>
        <rFont val="Arial"/>
        <family val="0"/>
      </rPr>
      <t>(g) + X</t>
    </r>
    <r>
      <rPr>
        <vertAlign val="superscript"/>
        <sz val="10"/>
        <rFont val="Arial"/>
        <family val="0"/>
      </rPr>
      <t>–</t>
    </r>
    <r>
      <rPr>
        <sz val="10"/>
        <rFont val="Arial"/>
        <family val="0"/>
      </rPr>
      <t>(g)</t>
    </r>
  </si>
  <si>
    <t>MX(s)</t>
  </si>
  <si>
    <r>
      <t>M</t>
    </r>
    <r>
      <rPr>
        <vertAlign val="superscript"/>
        <sz val="10"/>
        <rFont val="Arial"/>
        <family val="0"/>
      </rPr>
      <t>+</t>
    </r>
    <r>
      <rPr>
        <sz val="10"/>
        <rFont val="Arial"/>
        <family val="0"/>
      </rPr>
      <t>(aq) + X</t>
    </r>
    <r>
      <rPr>
        <vertAlign val="superscript"/>
        <sz val="10"/>
        <rFont val="Arial"/>
        <family val="0"/>
      </rPr>
      <t>–</t>
    </r>
    <r>
      <rPr>
        <sz val="10"/>
        <rFont val="Arial"/>
        <family val="0"/>
      </rPr>
      <t>(aq)</t>
    </r>
  </si>
  <si>
    <t xml:space="preserve"> ® </t>
  </si>
  <si>
    <t>2)</t>
  </si>
  <si>
    <t>Thermochemical Radii</t>
  </si>
  <si>
    <t>If you do find value in them, lattice energies can be quickly calculated on the</t>
  </si>
  <si>
    <t xml:space="preserve">"Kapustinsky Lattice Energy" sheet.  That sheet also gives an estimate of the </t>
  </si>
  <si>
    <t>uncertainty in the result.</t>
  </si>
  <si>
    <t>Thermochemical radii are used with Kapustinsky's equation to estimate lattice energies.  These energies do not appear to be directly useful; rather, they are used as part of thermochemical cycles to calculate enthalpies for other reactions.  Examples of such "other" reactions are rarely included in textbooks, making the topic of thermochemical radii of dubious value in an undergraduate course.</t>
  </si>
  <si>
    <t>Ion size ratio (anion / cation)</t>
  </si>
  <si>
    <r>
      <t>r</t>
    </r>
    <r>
      <rPr>
        <sz val="10"/>
        <rFont val="Arial"/>
        <family val="0"/>
      </rPr>
      <t xml:space="preserve"> / pm</t>
    </r>
  </si>
  <si>
    <t>(anion / cation)</t>
  </si>
  <si>
    <t>Ion size ratio</t>
  </si>
  <si>
    <t>Calculated</t>
  </si>
  <si>
    <t>Difference</t>
  </si>
  <si>
    <t>Average difference</t>
  </si>
  <si>
    <t>Parabola</t>
  </si>
  <si>
    <t>sum of differences squared</t>
  </si>
  <si>
    <t>a</t>
  </si>
  <si>
    <t>b</t>
  </si>
  <si>
    <t>c</t>
  </si>
  <si>
    <t>parabola parameters</t>
  </si>
  <si>
    <t>Data for parabola graph</t>
  </si>
  <si>
    <t>&lt;-- to get these.</t>
  </si>
  <si>
    <t>Experimental</t>
  </si>
  <si>
    <t>% difference</t>
  </si>
  <si>
    <t>Miscellaneous</t>
  </si>
  <si>
    <t>CaO</t>
  </si>
  <si>
    <t>Unknown compounds</t>
  </si>
  <si>
    <t>Use the C.N. 6 radii (that's the closest thing available).  Use the "generic" crystal structure.  In the Lattice Parameters table, enter 1 and 7 for the numbers of ions for that structure.</t>
  </si>
  <si>
    <t>Solvation energies</t>
  </si>
  <si>
    <t>CsF</t>
  </si>
  <si>
    <t>LiI</t>
  </si>
  <si>
    <t>LiF</t>
  </si>
  <si>
    <t>LiBr</t>
  </si>
  <si>
    <t>Other Sites</t>
  </si>
  <si>
    <t>4 (est.)</t>
  </si>
  <si>
    <t>8 (est.)</t>
  </si>
  <si>
    <r>
      <t>It will quickly become obvious that Shannon's table of  ionic radii is missing many desirable values.  For example:</t>
    </r>
  </si>
  <si>
    <t xml:space="preserve">Below are some distances from which estimates of ionic radii were obtained.  </t>
  </si>
  <si>
    <t>Not Enough Atomic Radii</t>
  </si>
  <si>
    <t>4 sq</t>
  </si>
  <si>
    <t>3 py</t>
  </si>
  <si>
    <t>4 py</t>
  </si>
  <si>
    <t>The above six distances were added to the table of radii, where they are listed as "(est.)".</t>
  </si>
  <si>
    <t>Click on K.</t>
  </si>
  <si>
    <t>Select a cell (even a blank one) on the row for the 4 coordinate ion, then click on the "Paste Values" button.</t>
  </si>
  <si>
    <t>Click on Br.</t>
  </si>
  <si>
    <t>Select a cell on the row for the 4 coordinate ion, then click on the "Paste Values" button.</t>
  </si>
  <si>
    <t xml:space="preserve">Note that "above which a higher C.N. structure exists" is in red, indicating that, according </t>
  </si>
  <si>
    <t>to the radius ratio, a different structure would be more favorable.</t>
  </si>
  <si>
    <t>Change the Madelung constant to that of rock salt.</t>
  </si>
  <si>
    <t>The red goes away.</t>
  </si>
  <si>
    <t>Select a crystal structure:</t>
  </si>
  <si>
    <t>Somewhere in your presentation, you'll want to discuss the calculation of lattice energy on this spreadsheet.</t>
  </si>
  <si>
    <t>The coordination numbers of the ions in the selected structure are given for information.</t>
  </si>
  <si>
    <t>First, select the sphalerite crystal structure from the drop-down box.</t>
  </si>
  <si>
    <t xml:space="preserve">Here are some it does work for:  </t>
  </si>
  <si>
    <t>KBr, NaCl, LiF</t>
  </si>
  <si>
    <t>RbCl</t>
  </si>
  <si>
    <t>Sphalerite works (-812 kJ/mol), but the rock salt structure gives a stronger lattice (-817 kJ/mol).</t>
  </si>
  <si>
    <t>To illustrate the calculation of lattice energies with KBr, initially assume it will have, say, a sphalerite crystal structure.</t>
  </si>
  <si>
    <t>There appears to be a need for evaluated radii of monatomic ions to supplement the Shannon values.</t>
  </si>
  <si>
    <t>(They should be consistent with the C.N. of the ionic radii you chose.)</t>
  </si>
  <si>
    <t>Picometers are used throughout this spreadsheet: 1 Å = 100 pm</t>
  </si>
  <si>
    <t>Separation between caption parts</t>
  </si>
  <si>
    <t>Right side line starting x</t>
  </si>
  <si>
    <t>Right side line ending x</t>
  </si>
  <si>
    <t>Right side connector x</t>
  </si>
  <si>
    <t>Connector stagger:</t>
  </si>
  <si>
    <t>Most inorganic texts note that the radius ratio does not work for all crystal structures.</t>
  </si>
  <si>
    <t>Start with rock salt; go to CsCl.  (It's enthalpy of solution is positive, but entropy makes it soluble, anyway.)</t>
  </si>
  <si>
    <t>MgS</t>
  </si>
  <si>
    <t>Satisfies radius ratio for both ZnS and NaCl structures; NaCl has lower energy.</t>
  </si>
  <si>
    <t>BeO, BeS</t>
  </si>
  <si>
    <t>NaCl</t>
  </si>
  <si>
    <t>LiCl</t>
  </si>
  <si>
    <t>Crystal Lattice Structures</t>
  </si>
  <si>
    <t>Structures of Simple Inorganic Solids</t>
  </si>
  <si>
    <t>http://www.chem.ox.ac.uk/icl/heyes/structure_of_solids/Strucsol.html</t>
  </si>
  <si>
    <t>http://www.ill.fr/dif/3D-crystals/index.html</t>
  </si>
  <si>
    <t>Christopher King</t>
  </si>
  <si>
    <t>Department of Chemistry</t>
  </si>
  <si>
    <t>Troy, AL 36082</t>
  </si>
  <si>
    <t>Making Matter</t>
  </si>
  <si>
    <t>ZnS (sphalerite)</t>
  </si>
  <si>
    <t>Send suggestion and corrections to</t>
  </si>
  <si>
    <t>Home page:</t>
  </si>
  <si>
    <r>
      <t>T(n)</t>
    </r>
    <r>
      <rPr>
        <sz val="10"/>
        <rFont val="Arial"/>
        <family val="0"/>
      </rPr>
      <t>/K</t>
    </r>
  </si>
  <si>
    <t>Descriptor:</t>
  </si>
  <si>
    <t>Connector:</t>
  </si>
  <si>
    <t>Line:</t>
  </si>
  <si>
    <t>Is EA positive?</t>
  </si>
  <si>
    <t>Dark background entries are adjustable positions,</t>
  </si>
  <si>
    <t>such as where all lines on the left start.</t>
  </si>
  <si>
    <t>con M(g) forms</t>
  </si>
  <si>
    <t>con M ionizes</t>
  </si>
  <si>
    <t>con X(g) forms</t>
  </si>
  <si>
    <t>con electron gain</t>
  </si>
  <si>
    <t>con lattice</t>
  </si>
  <si>
    <t>con enthalpy of form.</t>
  </si>
  <si>
    <t>Custom1</t>
  </si>
  <si>
    <t>Custom2</t>
  </si>
  <si>
    <t>d *</t>
  </si>
  <si>
    <t>Structure</t>
  </si>
  <si>
    <t>Separation/pm</t>
  </si>
  <si>
    <t>Cation radius/pm</t>
  </si>
  <si>
    <t>Standard deviation</t>
  </si>
  <si>
    <t>ref 1</t>
  </si>
  <si>
    <t>How to use the Lattice Energy Sheet:</t>
  </si>
  <si>
    <t>How the Lattice Energy Sheet Works</t>
  </si>
  <si>
    <t>(y-axis)</t>
  </si>
  <si>
    <t>(x-axis)</t>
  </si>
  <si>
    <t>No. of salts
in data set</t>
  </si>
  <si>
    <t>150 W(CO)4(h 3-Te)2+</t>
  </si>
  <si>
    <t>155 Pt(NO2)4Cl22-</t>
  </si>
  <si>
    <t>distance between ions/pm</t>
  </si>
  <si>
    <t>Radius
Uncertainty</t>
  </si>
  <si>
    <t>Estimated Enthalpy of Solution of the Ionic Solid</t>
  </si>
  <si>
    <t>atom.</t>
  </si>
  <si>
    <t>Label:</t>
  </si>
  <si>
    <t>X atomizes</t>
  </si>
  <si>
    <t>I. E.</t>
  </si>
  <si>
    <t>E.G.</t>
  </si>
  <si>
    <t>Lattice</t>
  </si>
  <si>
    <t>Goldschmidt Radii</t>
  </si>
  <si>
    <t>Don't add or remove columns or rows in the "Lattice Energy" sheet.  If you do, the buttons may not put data in the correct cells.</t>
  </si>
  <si>
    <t>For display in a large room, consider increasing the zoom factor on each sheet to 125%.</t>
  </si>
  <si>
    <t>American Mineralogist Crystal Structure Database</t>
  </si>
  <si>
    <t>http://www.geo.arizona.edu/AMS/amcsd.php</t>
  </si>
  <si>
    <t>Hydrides are excluded, as are compounds between heavier group 14 cations and group 15 or 16 anions.  These cations have a lone pair on them that makes it difficult for the cation to have tetrahedral symmetry.  Although PbO does have C.N. 4, the lone pair results in the Pb geometry being square pyramidal, rather than tetrahedral.</t>
  </si>
  <si>
    <t>On the MX structure map sheet, enter K and Br.  KBr is predicted to have the rock salt structure.</t>
  </si>
  <si>
    <t>Some excellent web sites on structures are available.  (Last accessed February, 2005)</t>
  </si>
  <si>
    <r>
      <t>RT</t>
    </r>
    <r>
      <rPr>
        <b/>
        <sz val="10"/>
        <rFont val="Arial"/>
        <family val="2"/>
      </rPr>
      <t xml:space="preserve"> in Enthalpies</t>
    </r>
  </si>
  <si>
    <t>Start with CsCl.  Go to the structure map.  Try rock salt (gives lower energy)</t>
  </si>
  <si>
    <t>Start with the sphalerite structure for all of these; show that the rock salt structure is preferred.</t>
  </si>
  <si>
    <t xml:space="preserve">     (Using a password prevents the macros from running.)</t>
  </si>
  <si>
    <t>Security:  Blocked Macros</t>
  </si>
  <si>
    <t>(Click the print button for a hard copy)</t>
  </si>
  <si>
    <t>cking@troy.edu</t>
  </si>
  <si>
    <t># in molecule</t>
  </si>
  <si>
    <t>Cation:</t>
  </si>
  <si>
    <t>Anion:</t>
  </si>
  <si>
    <t>Radius/pm</t>
  </si>
  <si>
    <t>Ions in formula unit</t>
  </si>
  <si>
    <t>Kapustinsky Lattice Energy:</t>
  </si>
  <si>
    <t>kJ/mol</t>
  </si>
  <si>
    <t>pm</t>
  </si>
  <si>
    <t>CsCl</t>
  </si>
  <si>
    <t>ZnS (wurtzite)</t>
  </si>
  <si>
    <t>cation</t>
  </si>
  <si>
    <t>anion</t>
  </si>
  <si>
    <t>ionic radii, pm</t>
  </si>
  <si>
    <t>charge</t>
  </si>
  <si>
    <t>C.N.</t>
  </si>
  <si>
    <t>number of ions</t>
  </si>
  <si>
    <t>radius ratio</t>
  </si>
  <si>
    <t xml:space="preserve">Minimum </t>
  </si>
  <si>
    <t>Maximum</t>
  </si>
  <si>
    <t>-</t>
  </si>
  <si>
    <t>Born-Haber Cycle</t>
  </si>
  <si>
    <t>NaCl (rock salt)</t>
  </si>
  <si>
    <t>PtS</t>
  </si>
  <si>
    <t>Lattice Energy</t>
  </si>
  <si>
    <t>atoms in molecule</t>
  </si>
  <si>
    <t>all units in kJ/mol</t>
  </si>
  <si>
    <t>cation, M</t>
  </si>
  <si>
    <t>anion, X</t>
  </si>
  <si>
    <t>II</t>
  </si>
  <si>
    <t>III</t>
  </si>
  <si>
    <t>IV</t>
  </si>
  <si>
    <t>VI</t>
  </si>
  <si>
    <t>VII</t>
  </si>
  <si>
    <t>VIII</t>
  </si>
  <si>
    <t>Ionization Energies of the Elements, MJ/mol</t>
  </si>
  <si>
    <t>ANION</t>
  </si>
  <si>
    <t>Uncertainty</t>
  </si>
  <si>
    <t>su = selenourea, trtu = trimethylthiourea, esu = ethyleneselenourea, tu = thiourea, Ph = phenyl.</t>
  </si>
  <si>
    <t>CATION</t>
  </si>
  <si>
    <t>Thermochemical Radii of Complex Ions</t>
  </si>
  <si>
    <t>Electron Affinities, kJ/mol</t>
  </si>
  <si>
    <t>1st</t>
  </si>
  <si>
    <t>2nd</t>
  </si>
  <si>
    <t>3rd</t>
  </si>
  <si>
    <t>Charge</t>
  </si>
  <si>
    <t>Spin</t>
  </si>
  <si>
    <t>l</t>
  </si>
  <si>
    <t>R, pm</t>
  </si>
  <si>
    <t>start line</t>
  </si>
  <si>
    <t>x</t>
  </si>
  <si>
    <t>y</t>
  </si>
  <si>
    <t>M ionized</t>
  </si>
  <si>
    <t>X dissociated</t>
  </si>
  <si>
    <t>electron gained</t>
  </si>
  <si>
    <t>lattice formed</t>
  </si>
  <si>
    <t>1/2 text height:</t>
  </si>
  <si>
    <t>Using the Born-Mayer Equation:</t>
  </si>
  <si>
    <t>Graph Data</t>
  </si>
  <si>
    <t>Electron Affinities</t>
  </si>
  <si>
    <t>Ionization Energies</t>
  </si>
  <si>
    <t>4th</t>
  </si>
  <si>
    <t>5th</t>
  </si>
  <si>
    <t>6th</t>
  </si>
  <si>
    <t>7th</t>
  </si>
  <si>
    <t>8th</t>
  </si>
  <si>
    <t>All energies in kJ/mol</t>
  </si>
  <si>
    <t>n</t>
  </si>
  <si>
    <t>Lattice Parameters</t>
  </si>
  <si>
    <t>Madelung Constant</t>
  </si>
  <si>
    <t>Coordination number</t>
  </si>
  <si>
    <t>low</t>
  </si>
  <si>
    <t>high</t>
  </si>
  <si>
    <t>Element Properties</t>
  </si>
  <si>
    <t>Element Row:</t>
  </si>
  <si>
    <t>At. Number:</t>
  </si>
  <si>
    <r>
      <t xml:space="preserve">Next, </t>
    </r>
    <r>
      <rPr>
        <sz val="10"/>
        <rFont val="Symbol"/>
        <family val="1"/>
      </rPr>
      <t>D</t>
    </r>
    <r>
      <rPr>
        <i/>
        <sz val="10"/>
        <rFont val="Arial"/>
        <family val="2"/>
      </rPr>
      <t>H</t>
    </r>
    <r>
      <rPr>
        <vertAlign val="subscript"/>
        <sz val="10"/>
        <rFont val="Arial"/>
        <family val="2"/>
      </rPr>
      <t>hyd</t>
    </r>
    <r>
      <rPr>
        <sz val="10"/>
        <rFont val="Arial"/>
        <family val="0"/>
      </rPr>
      <t xml:space="preserve"> </t>
    </r>
    <r>
      <rPr>
        <u val="single"/>
        <sz val="10"/>
        <rFont val="Arial"/>
        <family val="2"/>
      </rPr>
      <t>calculated</t>
    </r>
    <r>
      <rPr>
        <sz val="10"/>
        <rFont val="Arial"/>
        <family val="0"/>
      </rPr>
      <t xml:space="preserve"> using the Born equation is given in the following table.  Latimer, </t>
    </r>
    <r>
      <rPr>
        <i/>
        <sz val="10"/>
        <rFont val="Arial"/>
        <family val="2"/>
      </rPr>
      <t>et al</t>
    </r>
    <r>
      <rPr>
        <sz val="10"/>
        <rFont val="Arial"/>
        <family val="2"/>
      </rPr>
      <t xml:space="preserve">, showed that the Born equation agrees better with experimental </t>
    </r>
    <r>
      <rPr>
        <sz val="10"/>
        <rFont val="Symbol"/>
        <family val="1"/>
      </rPr>
      <t>D</t>
    </r>
    <r>
      <rPr>
        <i/>
        <sz val="10"/>
        <rFont val="Arial"/>
        <family val="2"/>
      </rPr>
      <t>H</t>
    </r>
    <r>
      <rPr>
        <vertAlign val="subscript"/>
        <sz val="10"/>
        <rFont val="Arial"/>
        <family val="2"/>
      </rPr>
      <t>hyd</t>
    </r>
    <r>
      <rPr>
        <sz val="10"/>
        <rFont val="Arial"/>
        <family val="2"/>
      </rPr>
      <t xml:space="preserve"> results if a constant is added to the radii of anions and cations.  For cations, they added 85 pm; for anions they added 10 pm.  Douglas, </t>
    </r>
    <r>
      <rPr>
        <i/>
        <sz val="10"/>
        <rFont val="Arial"/>
        <family val="2"/>
      </rPr>
      <t>et al</t>
    </r>
    <r>
      <rPr>
        <sz val="10"/>
        <rFont val="Arial"/>
        <family val="2"/>
      </rPr>
      <t xml:space="preserve">, used 70 and 25 pm.  "Solver" was used with </t>
    </r>
    <r>
      <rPr>
        <sz val="10"/>
        <rFont val="Arial"/>
        <family val="0"/>
      </rPr>
      <t>table 2 to determine the best values for the cation and anion constants.  The result was 74 and 6 pm, respectively.</t>
    </r>
  </si>
  <si>
    <r>
      <t xml:space="preserve">The hydration enthalpies calculated with the Born equation may also be compared with experimental data by plotting </t>
    </r>
    <r>
      <rPr>
        <sz val="10"/>
        <rFont val="Symbol"/>
        <family val="1"/>
      </rPr>
      <t>D</t>
    </r>
    <r>
      <rPr>
        <i/>
        <sz val="10"/>
        <rFont val="Arial"/>
        <family val="2"/>
      </rPr>
      <t>H</t>
    </r>
    <r>
      <rPr>
        <vertAlign val="subscript"/>
        <sz val="10"/>
        <rFont val="Arial"/>
        <family val="2"/>
      </rPr>
      <t>sol</t>
    </r>
    <r>
      <rPr>
        <sz val="10"/>
        <rFont val="Arial"/>
        <family val="0"/>
      </rPr>
      <t xml:space="preserve"> </t>
    </r>
    <r>
      <rPr>
        <i/>
        <sz val="10"/>
        <rFont val="Arial"/>
        <family val="2"/>
      </rPr>
      <t>vs</t>
    </r>
    <r>
      <rPr>
        <sz val="10"/>
        <rFont val="Arial"/>
        <family val="2"/>
      </rPr>
      <t xml:space="preserve">. the difference in hydration enthalpies of anion and cation, </t>
    </r>
    <r>
      <rPr>
        <sz val="10"/>
        <rFont val="Symbol"/>
        <family val="1"/>
      </rPr>
      <t>D</t>
    </r>
    <r>
      <rPr>
        <sz val="10"/>
        <rFont val="Arial"/>
        <family val="2"/>
      </rPr>
      <t>(</t>
    </r>
    <r>
      <rPr>
        <sz val="10"/>
        <rFont val="Symbol"/>
        <family val="1"/>
      </rPr>
      <t>D</t>
    </r>
    <r>
      <rPr>
        <i/>
        <sz val="10"/>
        <rFont val="Arial"/>
        <family val="2"/>
      </rPr>
      <t>H</t>
    </r>
    <r>
      <rPr>
        <vertAlign val="subscript"/>
        <sz val="10"/>
        <rFont val="Arial"/>
        <family val="2"/>
      </rPr>
      <t>hyd</t>
    </r>
    <r>
      <rPr>
        <sz val="10"/>
        <rFont val="Arial"/>
        <family val="2"/>
      </rPr>
      <t xml:space="preserve">).  Experimental values of </t>
    </r>
    <r>
      <rPr>
        <sz val="10"/>
        <rFont val="Symbol"/>
        <family val="1"/>
      </rPr>
      <t>D</t>
    </r>
    <r>
      <rPr>
        <i/>
        <sz val="10"/>
        <rFont val="Arial"/>
        <family val="2"/>
      </rPr>
      <t>H</t>
    </r>
    <r>
      <rPr>
        <vertAlign val="subscript"/>
        <sz val="10"/>
        <rFont val="Arial"/>
        <family val="2"/>
      </rPr>
      <t>sol</t>
    </r>
    <r>
      <rPr>
        <sz val="10"/>
        <rFont val="Arial"/>
        <family val="2"/>
      </rPr>
      <t xml:space="preserve"> are given in the above table.  Table 4 gives </t>
    </r>
    <r>
      <rPr>
        <i/>
        <sz val="10"/>
        <rFont val="Arial"/>
        <family val="2"/>
      </rPr>
      <t>experimental</t>
    </r>
    <r>
      <rPr>
        <sz val="10"/>
        <rFont val="Arial"/>
        <family val="2"/>
      </rPr>
      <t xml:space="preserve"> values for </t>
    </r>
    <r>
      <rPr>
        <sz val="10"/>
        <rFont val="Symbol"/>
        <family val="1"/>
      </rPr>
      <t>D</t>
    </r>
    <r>
      <rPr>
        <sz val="10"/>
        <rFont val="Arial"/>
        <family val="2"/>
      </rPr>
      <t>(</t>
    </r>
    <r>
      <rPr>
        <sz val="10"/>
        <rFont val="Symbol"/>
        <family val="1"/>
      </rPr>
      <t>D</t>
    </r>
    <r>
      <rPr>
        <i/>
        <sz val="10"/>
        <rFont val="Arial"/>
        <family val="2"/>
      </rPr>
      <t>H</t>
    </r>
    <r>
      <rPr>
        <vertAlign val="subscript"/>
        <sz val="10"/>
        <rFont val="Arial"/>
        <family val="2"/>
      </rPr>
      <t>hyd</t>
    </r>
    <r>
      <rPr>
        <sz val="10"/>
        <rFont val="Arial"/>
        <family val="2"/>
      </rPr>
      <t>).  Figure 1 is a plot of this data; similar plots are found in some inorganic chemistry textbooks.</t>
    </r>
  </si>
  <si>
    <r>
      <t>There are two main sources of error in Figure 2.  One is uncertainty in the calculated lattice energies.  Since, as shown in table 1, these are low by from 3.2% to 6.4%, they were multiplied by 1.05 (</t>
    </r>
    <r>
      <rPr>
        <i/>
        <sz val="10"/>
        <rFont val="Arial"/>
        <family val="2"/>
      </rPr>
      <t>i.e.</t>
    </r>
    <r>
      <rPr>
        <sz val="10"/>
        <rFont val="Arial"/>
        <family val="2"/>
      </rPr>
      <t>, increased by 5%)</t>
    </r>
    <r>
      <rPr>
        <sz val="10"/>
        <rFont val="Arial"/>
        <family val="0"/>
      </rPr>
      <t>.  The other source of error is the inaccuracy of using the Born equation to represent hydration energies.  This error is compounded in figure 2 because hydration energies are used to calculate both the x and y values.</t>
    </r>
  </si>
  <si>
    <r>
      <t>the C.N. 8 radius of Cl</t>
    </r>
    <r>
      <rPr>
        <vertAlign val="superscript"/>
        <sz val="10"/>
        <rFont val="Arial"/>
        <family val="2"/>
      </rPr>
      <t>-</t>
    </r>
    <r>
      <rPr>
        <sz val="10"/>
        <rFont val="Arial"/>
        <family val="2"/>
      </rPr>
      <t>, Br</t>
    </r>
    <r>
      <rPr>
        <vertAlign val="superscript"/>
        <sz val="10"/>
        <rFont val="Arial"/>
        <family val="2"/>
      </rPr>
      <t>-</t>
    </r>
    <r>
      <rPr>
        <sz val="10"/>
        <rFont val="Arial"/>
        <family val="2"/>
      </rPr>
      <t>, and I</t>
    </r>
    <r>
      <rPr>
        <vertAlign val="superscript"/>
        <sz val="10"/>
        <rFont val="Arial"/>
        <family val="2"/>
      </rPr>
      <t>-</t>
    </r>
    <r>
      <rPr>
        <sz val="10"/>
        <rFont val="Arial"/>
        <family val="2"/>
      </rPr>
      <t>, as in CsCl;</t>
    </r>
  </si>
  <si>
    <r>
      <t>the C.N. 4 radius of I</t>
    </r>
    <r>
      <rPr>
        <vertAlign val="superscript"/>
        <sz val="10"/>
        <rFont val="Arial"/>
        <family val="2"/>
      </rPr>
      <t>-</t>
    </r>
    <r>
      <rPr>
        <sz val="10"/>
        <rFont val="Arial"/>
        <family val="2"/>
      </rPr>
      <t>, as in AgI;</t>
    </r>
  </si>
  <si>
    <r>
      <t>the C.N. 4 radius of S</t>
    </r>
    <r>
      <rPr>
        <vertAlign val="superscript"/>
        <sz val="10"/>
        <rFont val="Arial"/>
        <family val="2"/>
      </rPr>
      <t>2-</t>
    </r>
    <r>
      <rPr>
        <sz val="10"/>
        <rFont val="Arial"/>
        <family val="2"/>
      </rPr>
      <t>, Se</t>
    </r>
    <r>
      <rPr>
        <vertAlign val="superscript"/>
        <sz val="10"/>
        <rFont val="Arial"/>
        <family val="2"/>
      </rPr>
      <t>2-</t>
    </r>
    <r>
      <rPr>
        <sz val="10"/>
        <rFont val="Arial"/>
        <family val="2"/>
      </rPr>
      <t>, and Te</t>
    </r>
    <r>
      <rPr>
        <vertAlign val="superscript"/>
        <sz val="10"/>
        <rFont val="Arial"/>
        <family val="2"/>
      </rPr>
      <t>2-</t>
    </r>
    <r>
      <rPr>
        <sz val="10"/>
        <rFont val="Arial"/>
        <family val="2"/>
      </rPr>
      <t>, as in ZnS.</t>
    </r>
  </si>
  <si>
    <r>
      <t>the C.N. 4 radius of P</t>
    </r>
    <r>
      <rPr>
        <vertAlign val="superscript"/>
        <sz val="10"/>
        <rFont val="Arial"/>
        <family val="2"/>
      </rPr>
      <t>3-</t>
    </r>
    <r>
      <rPr>
        <sz val="10"/>
        <rFont val="Arial"/>
        <family val="2"/>
      </rPr>
      <t>, As</t>
    </r>
    <r>
      <rPr>
        <vertAlign val="superscript"/>
        <sz val="10"/>
        <rFont val="Arial"/>
        <family val="2"/>
      </rPr>
      <t>3-</t>
    </r>
    <r>
      <rPr>
        <sz val="10"/>
        <rFont val="Arial"/>
        <family val="2"/>
      </rPr>
      <t>, and Sb</t>
    </r>
    <r>
      <rPr>
        <vertAlign val="superscript"/>
        <sz val="10"/>
        <rFont val="Arial"/>
        <family val="2"/>
      </rPr>
      <t>3-</t>
    </r>
    <r>
      <rPr>
        <sz val="10"/>
        <rFont val="Arial"/>
        <family val="2"/>
      </rPr>
      <t>, as in BP, GaAs, and InSb;</t>
    </r>
  </si>
  <si>
    <r>
      <t xml:space="preserve">     4-coordinate S</t>
    </r>
    <r>
      <rPr>
        <vertAlign val="superscript"/>
        <sz val="10"/>
        <rFont val="Arial"/>
        <family val="0"/>
      </rPr>
      <t>2-</t>
    </r>
    <r>
      <rPr>
        <sz val="10"/>
        <rFont val="Arial"/>
        <family val="0"/>
      </rPr>
      <t>.</t>
    </r>
  </si>
  <si>
    <r>
      <t>S</t>
    </r>
    <r>
      <rPr>
        <vertAlign val="superscript"/>
        <sz val="10"/>
        <rFont val="Arial"/>
        <family val="0"/>
      </rPr>
      <t>2-</t>
    </r>
    <r>
      <rPr>
        <sz val="10"/>
        <rFont val="Arial"/>
        <family val="0"/>
      </rPr>
      <t xml:space="preserve"> radius/pm</t>
    </r>
  </si>
  <si>
    <r>
      <t>Average S</t>
    </r>
    <r>
      <rPr>
        <vertAlign val="superscript"/>
        <sz val="10"/>
        <rFont val="Arial"/>
        <family val="0"/>
      </rPr>
      <t>2-</t>
    </r>
    <r>
      <rPr>
        <sz val="10"/>
        <rFont val="Arial"/>
        <family val="0"/>
      </rPr>
      <t xml:space="preserve"> radius</t>
    </r>
  </si>
  <si>
    <r>
      <t xml:space="preserve">     4-coordinate phosphide ion, P</t>
    </r>
    <r>
      <rPr>
        <vertAlign val="superscript"/>
        <sz val="10"/>
        <rFont val="Arial"/>
        <family val="0"/>
      </rPr>
      <t>3-</t>
    </r>
    <r>
      <rPr>
        <sz val="10"/>
        <rFont val="Arial"/>
        <family val="0"/>
      </rPr>
      <t xml:space="preserve">. </t>
    </r>
  </si>
  <si>
    <r>
      <t>P</t>
    </r>
    <r>
      <rPr>
        <vertAlign val="superscript"/>
        <sz val="10"/>
        <rFont val="Arial"/>
        <family val="0"/>
      </rPr>
      <t>3-</t>
    </r>
    <r>
      <rPr>
        <sz val="10"/>
        <rFont val="Arial"/>
        <family val="0"/>
      </rPr>
      <t xml:space="preserve"> radius/pm, C</t>
    </r>
    <r>
      <rPr>
        <vertAlign val="subscript"/>
        <sz val="10"/>
        <rFont val="Arial"/>
        <family val="0"/>
      </rPr>
      <t>.</t>
    </r>
    <r>
      <rPr>
        <sz val="10"/>
        <rFont val="Arial"/>
        <family val="0"/>
      </rPr>
      <t>N. 4</t>
    </r>
  </si>
  <si>
    <r>
      <t xml:space="preserve">     8-coordinate chloride ion, Cl</t>
    </r>
    <r>
      <rPr>
        <vertAlign val="superscript"/>
        <sz val="10"/>
        <rFont val="Arial"/>
        <family val="0"/>
      </rPr>
      <t>-</t>
    </r>
    <r>
      <rPr>
        <sz val="10"/>
        <rFont val="Arial"/>
        <family val="0"/>
      </rPr>
      <t>.</t>
    </r>
  </si>
  <si>
    <r>
      <t>Cl</t>
    </r>
    <r>
      <rPr>
        <vertAlign val="superscript"/>
        <sz val="10"/>
        <rFont val="Arial"/>
        <family val="0"/>
      </rPr>
      <t>-</t>
    </r>
    <r>
      <rPr>
        <sz val="10"/>
        <rFont val="Arial"/>
        <family val="0"/>
      </rPr>
      <t xml:space="preserve"> radius/pm, C</t>
    </r>
    <r>
      <rPr>
        <vertAlign val="subscript"/>
        <sz val="10"/>
        <rFont val="Arial"/>
        <family val="0"/>
      </rPr>
      <t>.</t>
    </r>
    <r>
      <rPr>
        <sz val="10"/>
        <rFont val="Arial"/>
        <family val="0"/>
      </rPr>
      <t>N. 8</t>
    </r>
  </si>
  <si>
    <r>
      <t xml:space="preserve">     4-coordinate chloride ion, Cl</t>
    </r>
    <r>
      <rPr>
        <vertAlign val="superscript"/>
        <sz val="10"/>
        <rFont val="Arial"/>
        <family val="0"/>
      </rPr>
      <t>-</t>
    </r>
    <r>
      <rPr>
        <sz val="10"/>
        <rFont val="Arial"/>
        <family val="0"/>
      </rPr>
      <t>.</t>
    </r>
  </si>
  <si>
    <r>
      <t>Cl</t>
    </r>
    <r>
      <rPr>
        <vertAlign val="superscript"/>
        <sz val="10"/>
        <rFont val="Arial"/>
        <family val="0"/>
      </rPr>
      <t>-</t>
    </r>
    <r>
      <rPr>
        <sz val="10"/>
        <rFont val="Arial"/>
        <family val="0"/>
      </rPr>
      <t xml:space="preserve"> radius/pm, C</t>
    </r>
    <r>
      <rPr>
        <vertAlign val="subscript"/>
        <sz val="10"/>
        <rFont val="Arial"/>
        <family val="0"/>
      </rPr>
      <t>.</t>
    </r>
    <r>
      <rPr>
        <sz val="10"/>
        <rFont val="Arial"/>
        <family val="0"/>
      </rPr>
      <t>N. 4</t>
    </r>
  </si>
  <si>
    <r>
      <t xml:space="preserve">     4-coordinate chloride ion, Br</t>
    </r>
    <r>
      <rPr>
        <vertAlign val="superscript"/>
        <sz val="10"/>
        <rFont val="Arial"/>
        <family val="0"/>
      </rPr>
      <t>-</t>
    </r>
    <r>
      <rPr>
        <sz val="10"/>
        <rFont val="Arial"/>
        <family val="0"/>
      </rPr>
      <t>.</t>
    </r>
  </si>
  <si>
    <r>
      <t>Br</t>
    </r>
    <r>
      <rPr>
        <vertAlign val="superscript"/>
        <sz val="10"/>
        <rFont val="Arial"/>
        <family val="0"/>
      </rPr>
      <t>-</t>
    </r>
    <r>
      <rPr>
        <sz val="10"/>
        <rFont val="Arial"/>
        <family val="0"/>
      </rPr>
      <t xml:space="preserve"> radius/pm, C</t>
    </r>
    <r>
      <rPr>
        <vertAlign val="subscript"/>
        <sz val="10"/>
        <rFont val="Arial"/>
        <family val="0"/>
      </rPr>
      <t>.</t>
    </r>
    <r>
      <rPr>
        <sz val="10"/>
        <rFont val="Arial"/>
        <family val="0"/>
      </rPr>
      <t>N. 4</t>
    </r>
  </si>
  <si>
    <r>
      <t xml:space="preserve">     4-coordinate arsenide ion, As</t>
    </r>
    <r>
      <rPr>
        <vertAlign val="superscript"/>
        <sz val="10"/>
        <rFont val="Arial"/>
        <family val="0"/>
      </rPr>
      <t>3-</t>
    </r>
    <r>
      <rPr>
        <sz val="10"/>
        <rFont val="Arial"/>
        <family val="0"/>
      </rPr>
      <t>.</t>
    </r>
  </si>
  <si>
    <r>
      <t>As</t>
    </r>
    <r>
      <rPr>
        <vertAlign val="superscript"/>
        <sz val="10"/>
        <rFont val="Arial"/>
        <family val="0"/>
      </rPr>
      <t>3-</t>
    </r>
    <r>
      <rPr>
        <sz val="10"/>
        <rFont val="Arial"/>
        <family val="0"/>
      </rPr>
      <t xml:space="preserve"> radius/pm, C</t>
    </r>
    <r>
      <rPr>
        <vertAlign val="subscript"/>
        <sz val="10"/>
        <rFont val="Arial"/>
        <family val="0"/>
      </rPr>
      <t>.</t>
    </r>
    <r>
      <rPr>
        <sz val="10"/>
        <rFont val="Arial"/>
        <family val="0"/>
      </rPr>
      <t>N. 4</t>
    </r>
  </si>
  <si>
    <r>
      <t xml:space="preserve">Use </t>
    </r>
    <r>
      <rPr>
        <b/>
        <sz val="10"/>
        <rFont val="Symbol"/>
        <family val="1"/>
      </rPr>
      <t>D</t>
    </r>
    <r>
      <rPr>
        <b/>
        <i/>
        <sz val="10"/>
        <rFont val="Arial"/>
        <family val="2"/>
      </rPr>
      <t>H</t>
    </r>
    <r>
      <rPr>
        <b/>
        <vertAlign val="subscript"/>
        <sz val="10"/>
        <rFont val="Arial"/>
        <family val="2"/>
      </rPr>
      <t>form</t>
    </r>
    <r>
      <rPr>
        <b/>
        <sz val="10"/>
        <rFont val="Arial"/>
        <family val="0"/>
      </rPr>
      <t xml:space="preserve">° Instead of </t>
    </r>
    <r>
      <rPr>
        <b/>
        <sz val="10"/>
        <rFont val="Symbol"/>
        <family val="1"/>
      </rPr>
      <t>D</t>
    </r>
    <r>
      <rPr>
        <b/>
        <i/>
        <sz val="10"/>
        <rFont val="Arial"/>
        <family val="2"/>
      </rPr>
      <t>H</t>
    </r>
    <r>
      <rPr>
        <b/>
        <vertAlign val="subscript"/>
        <sz val="10"/>
        <rFont val="Arial"/>
        <family val="2"/>
      </rPr>
      <t>vap</t>
    </r>
    <r>
      <rPr>
        <b/>
        <sz val="10"/>
        <rFont val="Arial"/>
        <family val="0"/>
      </rPr>
      <t xml:space="preserve">° + </t>
    </r>
    <r>
      <rPr>
        <b/>
        <sz val="10"/>
        <rFont val="Symbol"/>
        <family val="1"/>
      </rPr>
      <t>D</t>
    </r>
    <r>
      <rPr>
        <b/>
        <i/>
        <sz val="10"/>
        <rFont val="Arial"/>
        <family val="2"/>
      </rPr>
      <t>H</t>
    </r>
    <r>
      <rPr>
        <b/>
        <vertAlign val="subscript"/>
        <sz val="10"/>
        <rFont val="Arial"/>
        <family val="2"/>
      </rPr>
      <t>fus</t>
    </r>
    <r>
      <rPr>
        <b/>
        <sz val="10"/>
        <rFont val="Arial"/>
        <family val="0"/>
      </rPr>
      <t>°</t>
    </r>
  </si>
  <si>
    <r>
      <t xml:space="preserve">Heat capacity terms have </t>
    </r>
    <r>
      <rPr>
        <sz val="10"/>
        <rFont val="Arial"/>
        <family val="2"/>
      </rPr>
      <t>sometimes</t>
    </r>
    <r>
      <rPr>
        <sz val="10"/>
        <rFont val="Arial"/>
        <family val="0"/>
      </rPr>
      <t xml:space="preserve"> been used (</t>
    </r>
    <r>
      <rPr>
        <i/>
        <sz val="10"/>
        <rFont val="Arial"/>
        <family val="2"/>
      </rPr>
      <t xml:space="preserve">e.g., </t>
    </r>
    <r>
      <rPr>
        <sz val="10"/>
        <rFont val="Arial"/>
        <family val="2"/>
      </rPr>
      <t xml:space="preserve">see ref 1) </t>
    </r>
    <r>
      <rPr>
        <sz val="10"/>
        <rFont val="Arial"/>
        <family val="0"/>
      </rPr>
      <t xml:space="preserve">in the expression for the negative of the lattice enthalpy:  </t>
    </r>
  </si>
  <si>
    <r>
      <t>Na</t>
    </r>
    <r>
      <rPr>
        <vertAlign val="superscript"/>
        <sz val="10"/>
        <rFont val="Arial"/>
        <family val="0"/>
      </rPr>
      <t>+</t>
    </r>
    <r>
      <rPr>
        <sz val="10"/>
        <rFont val="Arial"/>
        <family val="0"/>
      </rPr>
      <t>(g) + Cl</t>
    </r>
    <r>
      <rPr>
        <vertAlign val="superscript"/>
        <sz val="10"/>
        <rFont val="Arial"/>
        <family val="2"/>
      </rPr>
      <t>–</t>
    </r>
    <r>
      <rPr>
        <sz val="10"/>
        <rFont val="Arial"/>
        <family val="0"/>
      </rPr>
      <t xml:space="preserve">(g) </t>
    </r>
    <r>
      <rPr>
        <sz val="10"/>
        <rFont val="Symbol"/>
        <family val="1"/>
      </rPr>
      <t>®</t>
    </r>
    <r>
      <rPr>
        <sz val="10"/>
        <rFont val="Arial"/>
        <family val="0"/>
      </rPr>
      <t xml:space="preserve"> NaCl(s)          -</t>
    </r>
    <r>
      <rPr>
        <sz val="10"/>
        <rFont val="Symbol"/>
        <family val="1"/>
      </rPr>
      <t>D</t>
    </r>
    <r>
      <rPr>
        <i/>
        <sz val="10"/>
        <rFont val="Arial"/>
        <family val="2"/>
      </rPr>
      <t>H°</t>
    </r>
    <r>
      <rPr>
        <vertAlign val="subscript"/>
        <sz val="10"/>
        <rFont val="Arial"/>
        <family val="2"/>
      </rPr>
      <t>lattice</t>
    </r>
    <r>
      <rPr>
        <sz val="10"/>
        <rFont val="Arial"/>
        <family val="0"/>
      </rPr>
      <t xml:space="preserve"> = </t>
    </r>
    <r>
      <rPr>
        <i/>
        <sz val="10"/>
        <rFont val="Arial"/>
        <family val="2"/>
      </rPr>
      <t>U</t>
    </r>
    <r>
      <rPr>
        <sz val="10"/>
        <rFont val="Arial"/>
        <family val="0"/>
      </rPr>
      <t xml:space="preserve"> + </t>
    </r>
    <r>
      <rPr>
        <i/>
        <sz val="10"/>
        <rFont val="Arial"/>
        <family val="2"/>
      </rPr>
      <t>nRT</t>
    </r>
    <r>
      <rPr>
        <sz val="10"/>
        <rFont val="Arial"/>
        <family val="0"/>
      </rPr>
      <t xml:space="preserve">/2, </t>
    </r>
  </si>
  <si>
    <r>
      <t xml:space="preserve">where </t>
    </r>
    <r>
      <rPr>
        <i/>
        <sz val="10"/>
        <rFont val="Arial"/>
        <family val="2"/>
      </rPr>
      <t>U</t>
    </r>
    <r>
      <rPr>
        <sz val="10"/>
        <rFont val="Arial"/>
        <family val="0"/>
      </rPr>
      <t xml:space="preserve"> is the lattice energy at zero Kelvin, and </t>
    </r>
    <r>
      <rPr>
        <i/>
        <sz val="10"/>
        <rFont val="Arial"/>
        <family val="2"/>
      </rPr>
      <t>n</t>
    </r>
    <r>
      <rPr>
        <sz val="10"/>
        <rFont val="Arial"/>
        <family val="0"/>
      </rPr>
      <t xml:space="preserve"> is the number of atoms in the formula unit.  The heat capacity term is the summation of enthalpy changes for two steps:</t>
    </r>
  </si>
  <si>
    <r>
      <t xml:space="preserve">2 gas particles are consumed (-5/2 </t>
    </r>
    <r>
      <rPr>
        <i/>
        <sz val="10"/>
        <rFont val="Arial"/>
        <family val="2"/>
      </rPr>
      <t>RT</t>
    </r>
    <r>
      <rPr>
        <sz val="10"/>
        <rFont val="Arial"/>
        <family val="0"/>
      </rPr>
      <t xml:space="preserve"> each) ……….…...….…..</t>
    </r>
  </si>
  <si>
    <r>
      <t xml:space="preserve">-5/2 </t>
    </r>
    <r>
      <rPr>
        <i/>
        <sz val="10"/>
        <rFont val="Arial"/>
        <family val="2"/>
      </rPr>
      <t>nRT</t>
    </r>
  </si>
  <si>
    <r>
      <t xml:space="preserve">from 0 to 298 K (+3 </t>
    </r>
    <r>
      <rPr>
        <i/>
        <sz val="10"/>
        <rFont val="Arial"/>
        <family val="2"/>
      </rPr>
      <t>RT</t>
    </r>
    <r>
      <rPr>
        <sz val="10"/>
        <rFont val="Arial"/>
        <family val="0"/>
      </rPr>
      <t xml:space="preserve"> for each particle) …………</t>
    </r>
  </si>
  <si>
    <r>
      <t xml:space="preserve">+3 </t>
    </r>
    <r>
      <rPr>
        <i/>
        <sz val="10"/>
        <rFont val="Arial"/>
        <family val="2"/>
      </rPr>
      <t>nRT</t>
    </r>
  </si>
  <si>
    <r>
      <t>nRT</t>
    </r>
    <r>
      <rPr>
        <sz val="10"/>
        <rFont val="Arial"/>
        <family val="2"/>
      </rPr>
      <t>/2</t>
    </r>
  </si>
  <si>
    <r>
      <t xml:space="preserve">The two processes together account for the </t>
    </r>
    <r>
      <rPr>
        <i/>
        <sz val="10"/>
        <rFont val="Arial"/>
        <family val="2"/>
      </rPr>
      <t>nRT/</t>
    </r>
    <r>
      <rPr>
        <sz val="10"/>
        <rFont val="Arial"/>
        <family val="2"/>
      </rPr>
      <t>2 term.</t>
    </r>
  </si>
  <si>
    <r>
      <t>Al</t>
    </r>
    <r>
      <rPr>
        <vertAlign val="subscript"/>
        <sz val="10"/>
        <rFont val="Arial"/>
        <family val="0"/>
      </rPr>
      <t>2</t>
    </r>
    <r>
      <rPr>
        <sz val="10"/>
        <rFont val="Arial"/>
        <family val="0"/>
      </rPr>
      <t>O</t>
    </r>
    <r>
      <rPr>
        <vertAlign val="subscript"/>
        <sz val="10"/>
        <rFont val="Arial"/>
        <family val="0"/>
      </rPr>
      <t>3</t>
    </r>
    <r>
      <rPr>
        <sz val="10"/>
        <rFont val="Arial"/>
        <family val="2"/>
      </rPr>
      <t xml:space="preserve"> (corundum)</t>
    </r>
  </si>
  <si>
    <r>
      <t>C</t>
    </r>
    <r>
      <rPr>
        <i/>
        <vertAlign val="subscript"/>
        <sz val="10"/>
        <rFont val="Arial"/>
        <family val="2"/>
      </rPr>
      <t>P</t>
    </r>
    <r>
      <rPr>
        <sz val="10"/>
        <rFont val="Arial"/>
        <family val="2"/>
      </rPr>
      <t>°, cal/mol K</t>
    </r>
  </si>
  <si>
    <r>
      <t>C</t>
    </r>
    <r>
      <rPr>
        <i/>
        <vertAlign val="subscript"/>
        <sz val="10"/>
        <rFont val="Arial"/>
        <family val="2"/>
      </rPr>
      <t>P</t>
    </r>
    <r>
      <rPr>
        <sz val="10"/>
        <rFont val="Arial"/>
        <family val="2"/>
      </rPr>
      <t>°, J/mol K</t>
    </r>
  </si>
  <si>
    <r>
      <t>C</t>
    </r>
    <r>
      <rPr>
        <i/>
        <vertAlign val="subscript"/>
        <sz val="10"/>
        <rFont val="Arial"/>
        <family val="2"/>
      </rPr>
      <t>P</t>
    </r>
    <r>
      <rPr>
        <sz val="10"/>
        <rFont val="Arial"/>
        <family val="0"/>
      </rPr>
      <t>°/</t>
    </r>
    <r>
      <rPr>
        <i/>
        <sz val="10"/>
        <rFont val="Arial"/>
        <family val="2"/>
      </rPr>
      <t>nR</t>
    </r>
    <r>
      <rPr>
        <sz val="10"/>
        <rFont val="Arial"/>
        <family val="0"/>
      </rPr>
      <t xml:space="preserve"> </t>
    </r>
  </si>
  <si>
    <r>
      <t>C</t>
    </r>
    <r>
      <rPr>
        <i/>
        <vertAlign val="subscript"/>
        <sz val="10"/>
        <rFont val="Arial"/>
        <family val="2"/>
      </rPr>
      <t>P</t>
    </r>
    <r>
      <rPr>
        <sz val="10"/>
        <rFont val="Arial"/>
        <family val="2"/>
      </rPr>
      <t>°, mJ/mol K</t>
    </r>
  </si>
  <si>
    <r>
      <t>¬¾¾¾</t>
    </r>
    <r>
      <rPr>
        <b/>
        <sz val="10"/>
        <rFont val="Arial"/>
        <family val="2"/>
      </rPr>
      <t xml:space="preserve"> </t>
    </r>
    <r>
      <rPr>
        <b/>
        <i/>
        <sz val="10"/>
        <rFont val="Arial"/>
        <family val="2"/>
      </rPr>
      <t>Graph Data</t>
    </r>
    <r>
      <rPr>
        <b/>
        <sz val="10"/>
        <rFont val="Arial"/>
        <family val="2"/>
      </rPr>
      <t xml:space="preserve"> </t>
    </r>
    <r>
      <rPr>
        <b/>
        <sz val="10"/>
        <rFont val="Symbol"/>
        <family val="1"/>
      </rPr>
      <t>¾¾¾®</t>
    </r>
  </si>
  <si>
    <r>
      <t xml:space="preserve">First, the </t>
    </r>
    <r>
      <rPr>
        <u val="single"/>
        <sz val="10"/>
        <rFont val="Arial"/>
        <family val="2"/>
      </rPr>
      <t>experimental</t>
    </r>
    <r>
      <rPr>
        <sz val="10"/>
        <rFont val="Arial"/>
        <family val="0"/>
      </rPr>
      <t xml:space="preserve"> enthalpy of hydration of compounds is given in Table 2, column C.  It comes from
        </t>
    </r>
    <r>
      <rPr>
        <sz val="10"/>
        <rFont val="Symbol"/>
        <family val="1"/>
      </rPr>
      <t>D</t>
    </r>
    <r>
      <rPr>
        <i/>
        <sz val="10"/>
        <rFont val="Arial"/>
        <family val="2"/>
      </rPr>
      <t>H</t>
    </r>
    <r>
      <rPr>
        <vertAlign val="subscript"/>
        <sz val="10"/>
        <rFont val="Arial"/>
        <family val="2"/>
      </rPr>
      <t>sol</t>
    </r>
    <r>
      <rPr>
        <sz val="10"/>
        <rFont val="Arial"/>
        <family val="0"/>
      </rPr>
      <t xml:space="preserve"> (</t>
    </r>
    <r>
      <rPr>
        <i/>
        <sz val="9"/>
        <rFont val="Arial"/>
        <family val="2"/>
      </rPr>
      <t>Table 2, column B</t>
    </r>
    <r>
      <rPr>
        <sz val="10"/>
        <rFont val="Arial"/>
        <family val="0"/>
      </rPr>
      <t>) - lattice energy (</t>
    </r>
    <r>
      <rPr>
        <i/>
        <sz val="9"/>
        <rFont val="Arial"/>
        <family val="2"/>
      </rPr>
      <t>Table 1, column D</t>
    </r>
    <r>
      <rPr>
        <sz val="10"/>
        <rFont val="Arial"/>
        <family val="0"/>
      </rPr>
      <t>)</t>
    </r>
  </si>
  <si>
    <r>
      <t>D</t>
    </r>
    <r>
      <rPr>
        <i/>
        <sz val="10"/>
        <rFont val="Arial"/>
        <family val="2"/>
      </rPr>
      <t>H</t>
    </r>
    <r>
      <rPr>
        <vertAlign val="subscript"/>
        <sz val="10"/>
        <rFont val="Arial"/>
        <family val="2"/>
      </rPr>
      <t>hyd</t>
    </r>
    <r>
      <rPr>
        <sz val="10"/>
        <rFont val="Arial"/>
        <family val="2"/>
      </rPr>
      <t xml:space="preserve"> of ions</t>
    </r>
  </si>
  <si>
    <r>
      <t>D</t>
    </r>
    <r>
      <rPr>
        <i/>
        <sz val="10"/>
        <rFont val="Arial"/>
        <family val="2"/>
      </rPr>
      <t>H</t>
    </r>
    <r>
      <rPr>
        <vertAlign val="subscript"/>
        <sz val="10"/>
        <rFont val="Arial"/>
        <family val="2"/>
      </rPr>
      <t>sol</t>
    </r>
  </si>
  <si>
    <r>
      <t>D</t>
    </r>
    <r>
      <rPr>
        <i/>
        <sz val="10"/>
        <rFont val="Arial"/>
        <family val="2"/>
      </rPr>
      <t>H</t>
    </r>
    <r>
      <rPr>
        <vertAlign val="subscript"/>
        <sz val="10"/>
        <rFont val="Arial"/>
        <family val="2"/>
      </rPr>
      <t>hyd</t>
    </r>
    <r>
      <rPr>
        <sz val="10"/>
        <rFont val="Arial"/>
        <family val="2"/>
      </rPr>
      <t xml:space="preserve"> </t>
    </r>
  </si>
  <si>
    <r>
      <t>D</t>
    </r>
    <r>
      <rPr>
        <i/>
        <sz val="10"/>
        <rFont val="Arial"/>
        <family val="2"/>
      </rPr>
      <t>H</t>
    </r>
    <r>
      <rPr>
        <vertAlign val="subscript"/>
        <sz val="10"/>
        <rFont val="Arial"/>
        <family val="2"/>
      </rPr>
      <t>hyd</t>
    </r>
  </si>
  <si>
    <r>
      <t>D</t>
    </r>
    <r>
      <rPr>
        <sz val="10"/>
        <rFont val="Arial"/>
        <family val="0"/>
      </rPr>
      <t>H</t>
    </r>
    <r>
      <rPr>
        <vertAlign val="subscript"/>
        <sz val="10"/>
        <rFont val="Arial"/>
        <family val="2"/>
      </rPr>
      <t>hyd</t>
    </r>
    <r>
      <rPr>
        <sz val="10"/>
        <rFont val="Arial"/>
        <family val="0"/>
      </rPr>
      <t xml:space="preserve"> / (kJ/mol)</t>
    </r>
  </si>
  <si>
    <r>
      <t>D</t>
    </r>
    <r>
      <rPr>
        <i/>
        <sz val="10"/>
        <rFont val="Arial"/>
        <family val="2"/>
      </rPr>
      <t>H</t>
    </r>
    <r>
      <rPr>
        <vertAlign val="subscript"/>
        <sz val="10"/>
        <rFont val="Arial"/>
        <family val="2"/>
      </rPr>
      <t>hyd</t>
    </r>
    <r>
      <rPr>
        <sz val="10"/>
        <rFont val="Arial"/>
        <family val="0"/>
      </rPr>
      <t xml:space="preserve"> / (kJ/mol)</t>
    </r>
  </si>
  <si>
    <r>
      <t>Li</t>
    </r>
    <r>
      <rPr>
        <vertAlign val="superscript"/>
        <sz val="10"/>
        <rFont val="Arial"/>
        <family val="0"/>
      </rPr>
      <t>+</t>
    </r>
  </si>
  <si>
    <r>
      <t>Na</t>
    </r>
    <r>
      <rPr>
        <vertAlign val="superscript"/>
        <sz val="10"/>
        <rFont val="Arial"/>
        <family val="0"/>
      </rPr>
      <t>+</t>
    </r>
  </si>
  <si>
    <r>
      <t>K</t>
    </r>
    <r>
      <rPr>
        <vertAlign val="superscript"/>
        <sz val="10"/>
        <rFont val="Arial"/>
        <family val="0"/>
      </rPr>
      <t>+</t>
    </r>
  </si>
  <si>
    <r>
      <t>Rb</t>
    </r>
    <r>
      <rPr>
        <vertAlign val="superscript"/>
        <sz val="10"/>
        <rFont val="Arial"/>
        <family val="0"/>
      </rPr>
      <t>+</t>
    </r>
  </si>
  <si>
    <r>
      <t>Cs</t>
    </r>
    <r>
      <rPr>
        <vertAlign val="superscript"/>
        <sz val="10"/>
        <rFont val="Arial"/>
        <family val="0"/>
      </rPr>
      <t>+</t>
    </r>
  </si>
  <si>
    <r>
      <t>Be</t>
    </r>
    <r>
      <rPr>
        <vertAlign val="superscript"/>
        <sz val="10"/>
        <rFont val="Arial"/>
        <family val="0"/>
      </rPr>
      <t>2+</t>
    </r>
  </si>
  <si>
    <r>
      <t>F</t>
    </r>
    <r>
      <rPr>
        <vertAlign val="superscript"/>
        <sz val="10"/>
        <rFont val="Arial"/>
        <family val="0"/>
      </rPr>
      <t>-</t>
    </r>
  </si>
  <si>
    <r>
      <t>Mg</t>
    </r>
    <r>
      <rPr>
        <vertAlign val="superscript"/>
        <sz val="10"/>
        <rFont val="Arial"/>
        <family val="0"/>
      </rPr>
      <t>2+</t>
    </r>
  </si>
  <si>
    <r>
      <t>Cl</t>
    </r>
    <r>
      <rPr>
        <vertAlign val="superscript"/>
        <sz val="10"/>
        <rFont val="Arial"/>
        <family val="0"/>
      </rPr>
      <t>-</t>
    </r>
  </si>
  <si>
    <r>
      <t>Ca</t>
    </r>
    <r>
      <rPr>
        <vertAlign val="superscript"/>
        <sz val="10"/>
        <rFont val="Arial"/>
        <family val="0"/>
      </rPr>
      <t>2+</t>
    </r>
  </si>
  <si>
    <r>
      <t>Br</t>
    </r>
    <r>
      <rPr>
        <vertAlign val="superscript"/>
        <sz val="10"/>
        <rFont val="Arial"/>
        <family val="0"/>
      </rPr>
      <t>-</t>
    </r>
  </si>
  <si>
    <r>
      <t>Sr</t>
    </r>
    <r>
      <rPr>
        <vertAlign val="superscript"/>
        <sz val="10"/>
        <rFont val="Arial"/>
        <family val="0"/>
      </rPr>
      <t>2+</t>
    </r>
  </si>
  <si>
    <r>
      <t>I</t>
    </r>
    <r>
      <rPr>
        <vertAlign val="superscript"/>
        <sz val="10"/>
        <rFont val="Arial"/>
        <family val="0"/>
      </rPr>
      <t>-</t>
    </r>
  </si>
  <si>
    <r>
      <t>Ba</t>
    </r>
    <r>
      <rPr>
        <vertAlign val="superscript"/>
        <sz val="10"/>
        <rFont val="Arial"/>
        <family val="0"/>
      </rPr>
      <t>2+</t>
    </r>
  </si>
  <si>
    <r>
      <t xml:space="preserve">Table 4.  Experimental </t>
    </r>
    <r>
      <rPr>
        <b/>
        <sz val="10"/>
        <rFont val="Symbol"/>
        <family val="1"/>
      </rPr>
      <t>D(D</t>
    </r>
    <r>
      <rPr>
        <b/>
        <i/>
        <sz val="10"/>
        <rFont val="Arial"/>
        <family val="2"/>
      </rPr>
      <t>H</t>
    </r>
    <r>
      <rPr>
        <b/>
        <vertAlign val="subscript"/>
        <sz val="10"/>
        <rFont val="Arial"/>
        <family val="2"/>
      </rPr>
      <t>hydration</t>
    </r>
    <r>
      <rPr>
        <b/>
        <sz val="10"/>
        <rFont val="Arial"/>
        <family val="2"/>
      </rPr>
      <t>)</t>
    </r>
  </si>
  <si>
    <r>
      <t>D(D</t>
    </r>
    <r>
      <rPr>
        <i/>
        <sz val="10"/>
        <rFont val="Arial"/>
        <family val="2"/>
      </rPr>
      <t>H</t>
    </r>
    <r>
      <rPr>
        <vertAlign val="subscript"/>
        <sz val="10"/>
        <rFont val="Arial"/>
        <family val="2"/>
      </rPr>
      <t>hyd</t>
    </r>
    <r>
      <rPr>
        <sz val="10"/>
        <rFont val="Arial"/>
        <family val="2"/>
      </rPr>
      <t>)</t>
    </r>
  </si>
  <si>
    <r>
      <t>The same thing is plotted in Figure 2, only this data came from the "</t>
    </r>
    <r>
      <rPr>
        <i/>
        <sz val="10"/>
        <rFont val="Arial"/>
        <family val="2"/>
      </rPr>
      <t>Lattice Energy</t>
    </r>
    <r>
      <rPr>
        <sz val="10"/>
        <rFont val="Arial"/>
        <family val="2"/>
      </rPr>
      <t>" worksheet.  The results are not very satisfying.</t>
    </r>
  </si>
  <si>
    <r>
      <t xml:space="preserve">Table 5.  Calculated </t>
    </r>
    <r>
      <rPr>
        <b/>
        <sz val="10"/>
        <rFont val="Symbol"/>
        <family val="1"/>
      </rPr>
      <t>D</t>
    </r>
    <r>
      <rPr>
        <b/>
        <i/>
        <sz val="10"/>
        <rFont val="Arial"/>
        <family val="2"/>
      </rPr>
      <t>H</t>
    </r>
    <r>
      <rPr>
        <b/>
        <vertAlign val="subscript"/>
        <sz val="10"/>
        <rFont val="Arial"/>
        <family val="2"/>
      </rPr>
      <t>sol</t>
    </r>
    <r>
      <rPr>
        <b/>
        <sz val="10"/>
        <rFont val="Arial"/>
        <family val="2"/>
      </rPr>
      <t xml:space="preserve"> and </t>
    </r>
    <r>
      <rPr>
        <b/>
        <sz val="10"/>
        <rFont val="Symbol"/>
        <family val="1"/>
      </rPr>
      <t>DD</t>
    </r>
    <r>
      <rPr>
        <b/>
        <i/>
        <sz val="10"/>
        <rFont val="Arial"/>
        <family val="2"/>
      </rPr>
      <t>H</t>
    </r>
    <r>
      <rPr>
        <b/>
        <vertAlign val="subscript"/>
        <sz val="10"/>
        <rFont val="Arial"/>
        <family val="2"/>
      </rPr>
      <t>hydration</t>
    </r>
    <r>
      <rPr>
        <b/>
        <sz val="10"/>
        <rFont val="Arial"/>
        <family val="2"/>
      </rPr>
      <t xml:space="preserve"> (from worksheet)</t>
    </r>
  </si>
  <si>
    <r>
      <t>D</t>
    </r>
    <r>
      <rPr>
        <i/>
        <sz val="10"/>
        <rFont val="Arial"/>
        <family val="2"/>
      </rPr>
      <t>H</t>
    </r>
    <r>
      <rPr>
        <vertAlign val="subscript"/>
        <sz val="10"/>
        <rFont val="Arial"/>
        <family val="2"/>
      </rPr>
      <t>sol</t>
    </r>
    <r>
      <rPr>
        <sz val="10"/>
        <rFont val="Arial"/>
        <family val="2"/>
      </rPr>
      <t>, kJ/mol</t>
    </r>
  </si>
  <si>
    <r>
      <t xml:space="preserve">When an element is clicked on, a macro places the element's symbol in the "symbol" cell.  Excel then uses table look-up functions to retrieve the data for that symbol.  The "Paste Value" button runs a macro that copies the element's data to the appropriate cells in the sheet.  That button also updates the chemical reactions and graph captions.  The Madelung constant is selected with a drop-down list box.  (To set that up, go to </t>
    </r>
    <r>
      <rPr>
        <b/>
        <u val="single"/>
        <sz val="10"/>
        <rFont val="Arial"/>
        <family val="2"/>
      </rPr>
      <t>D</t>
    </r>
    <r>
      <rPr>
        <b/>
        <sz val="10"/>
        <rFont val="Arial"/>
        <family val="2"/>
      </rPr>
      <t>ata/Va</t>
    </r>
    <r>
      <rPr>
        <b/>
        <u val="single"/>
        <sz val="10"/>
        <rFont val="Arial"/>
        <family val="2"/>
      </rPr>
      <t>l</t>
    </r>
    <r>
      <rPr>
        <b/>
        <sz val="10"/>
        <rFont val="Arial"/>
        <family val="2"/>
      </rPr>
      <t>idation</t>
    </r>
    <r>
      <rPr>
        <sz val="10"/>
        <rFont val="Arial"/>
        <family val="2"/>
      </rPr>
      <t xml:space="preserve">.)  </t>
    </r>
    <r>
      <rPr>
        <sz val="10"/>
        <rFont val="Arial"/>
        <family val="0"/>
      </rPr>
      <t>The macros do no calculations; they just paste information into the proper cells, and do some formatting.  "Conditional formatting" is used to color some parts of the sheet.  For example, if the radius ratio is less than the minimum for a particular type of lattice, the color of some text is changed to red.  Finally, the Born-Haber Cycle graph contains chemical equations as labels.  To do this, first, a legend is created for a data point, then the desired equation is pasted into the legend.</t>
    </r>
  </si>
  <si>
    <r>
      <t>One step in the Born</t>
    </r>
    <r>
      <rPr>
        <sz val="10"/>
        <rFont val="Arial"/>
        <family val="0"/>
      </rPr>
      <t>-</t>
    </r>
    <r>
      <rPr>
        <sz val="10"/>
        <rFont val="Arial"/>
        <family val="0"/>
      </rPr>
      <t xml:space="preserve">Haber cycle is the formation of monatomic gaseous atoms from the element; this step has an associated enthalpy of formation, </t>
    </r>
    <r>
      <rPr>
        <sz val="10"/>
        <rFont val="Symbol"/>
        <family val="1"/>
      </rPr>
      <t></t>
    </r>
    <r>
      <rPr>
        <i/>
        <sz val="10"/>
        <rFont val="Arial"/>
        <family val="2"/>
      </rPr>
      <t>H</t>
    </r>
    <r>
      <rPr>
        <vertAlign val="subscript"/>
        <sz val="10"/>
        <rFont val="Arial"/>
        <family val="2"/>
      </rPr>
      <t>form</t>
    </r>
    <r>
      <rPr>
        <sz val="10"/>
        <rFont val="Arial"/>
        <family val="0"/>
      </rPr>
      <t>°.  In the past, this enthalpy was obtained by just summing enthalpies of fusion and vaporization.  This is inaccurate for several reasons.  1) Polyatomic species, such as Li</t>
    </r>
    <r>
      <rPr>
        <vertAlign val="subscript"/>
        <sz val="10"/>
        <rFont val="Arial"/>
        <family val="0"/>
      </rPr>
      <t>2</t>
    </r>
    <r>
      <rPr>
        <sz val="10"/>
        <rFont val="Arial"/>
        <family val="0"/>
      </rPr>
      <t xml:space="preserve"> and S</t>
    </r>
    <r>
      <rPr>
        <vertAlign val="subscript"/>
        <sz val="10"/>
        <rFont val="Arial"/>
        <family val="0"/>
      </rPr>
      <t>4</t>
    </r>
    <r>
      <rPr>
        <sz val="10"/>
        <rFont val="Arial"/>
        <family val="0"/>
      </rPr>
      <t xml:space="preserve">, form in the vapor phase, so an additional enthalpy term should be included to account for breaking these polyatomic species apart.  2) Also, a temperature change correction should be included.  Typically, an element at room temperature is vaporized by heating to a higher temperature, then the free atoms are, conceptually, cooled back to room temperature.  An additional enthalpy term should be included to account for any difference in heat capacities between the element and the free atoms.  These inaccuracies are avoided by using </t>
    </r>
    <r>
      <rPr>
        <sz val="10"/>
        <rFont val="Symbol"/>
        <family val="1"/>
      </rPr>
      <t></t>
    </r>
    <r>
      <rPr>
        <i/>
        <sz val="10"/>
        <rFont val="Arial"/>
        <family val="2"/>
      </rPr>
      <t>H</t>
    </r>
    <r>
      <rPr>
        <vertAlign val="subscript"/>
        <sz val="10"/>
        <rFont val="Arial"/>
        <family val="2"/>
      </rPr>
      <t>form</t>
    </r>
    <r>
      <rPr>
        <sz val="10"/>
        <rFont val="Arial"/>
        <family val="0"/>
      </rPr>
      <t xml:space="preserve">°.  </t>
    </r>
  </si>
  <si>
    <r>
      <t xml:space="preserve">Fortunately, compilations are now available of accurate values of </t>
    </r>
    <r>
      <rPr>
        <sz val="10"/>
        <rFont val="Symbol"/>
        <family val="1"/>
      </rPr>
      <t></t>
    </r>
    <r>
      <rPr>
        <i/>
        <sz val="10"/>
        <rFont val="Arial"/>
        <family val="2"/>
      </rPr>
      <t>H</t>
    </r>
    <r>
      <rPr>
        <vertAlign val="subscript"/>
        <sz val="10"/>
        <rFont val="Arial"/>
        <family val="2"/>
      </rPr>
      <t>form</t>
    </r>
    <r>
      <rPr>
        <sz val="10"/>
        <rFont val="Arial"/>
        <family val="0"/>
      </rPr>
      <t xml:space="preserve">° at 298 K for all non-radioactive elements.  I recommend using these values because a) they do not suffer from the inaccuracies listed above; and b) they are easier to use (no summations are needed; one list of </t>
    </r>
    <r>
      <rPr>
        <sz val="10"/>
        <rFont val="Symbol"/>
        <family val="1"/>
      </rPr>
      <t></t>
    </r>
    <r>
      <rPr>
        <i/>
        <sz val="10"/>
        <rFont val="Arial"/>
        <family val="2"/>
      </rPr>
      <t>H</t>
    </r>
    <r>
      <rPr>
        <vertAlign val="subscript"/>
        <sz val="10"/>
        <rFont val="Arial"/>
        <family val="2"/>
      </rPr>
      <t>form</t>
    </r>
    <r>
      <rPr>
        <sz val="10"/>
        <rFont val="Arial"/>
        <family val="0"/>
      </rPr>
      <t xml:space="preserve">° replaces lists of </t>
    </r>
    <r>
      <rPr>
        <sz val="10"/>
        <rFont val="Symbol"/>
        <family val="1"/>
      </rPr>
      <t></t>
    </r>
    <r>
      <rPr>
        <i/>
        <sz val="10"/>
        <rFont val="Arial"/>
        <family val="2"/>
      </rPr>
      <t>H</t>
    </r>
    <r>
      <rPr>
        <vertAlign val="subscript"/>
        <sz val="10"/>
        <rFont val="Arial"/>
        <family val="2"/>
      </rPr>
      <t>fus</t>
    </r>
    <r>
      <rPr>
        <sz val="10"/>
        <rFont val="Arial"/>
        <family val="0"/>
      </rPr>
      <t xml:space="preserve">° and </t>
    </r>
    <r>
      <rPr>
        <sz val="10"/>
        <rFont val="Symbol"/>
        <family val="1"/>
      </rPr>
      <t></t>
    </r>
    <r>
      <rPr>
        <i/>
        <sz val="10"/>
        <rFont val="Arial"/>
        <family val="2"/>
      </rPr>
      <t>H</t>
    </r>
    <r>
      <rPr>
        <vertAlign val="subscript"/>
        <sz val="10"/>
        <rFont val="Arial"/>
        <family val="2"/>
      </rPr>
      <t>vap</t>
    </r>
    <r>
      <rPr>
        <sz val="10"/>
        <rFont val="Arial"/>
        <family val="0"/>
      </rPr>
      <t xml:space="preserve">°).  </t>
    </r>
    <r>
      <rPr>
        <sz val="10"/>
        <rFont val="Symbol"/>
        <family val="1"/>
      </rPr>
      <t></t>
    </r>
    <r>
      <rPr>
        <i/>
        <sz val="10"/>
        <rFont val="Arial"/>
        <family val="2"/>
      </rPr>
      <t>H</t>
    </r>
    <r>
      <rPr>
        <vertAlign val="subscript"/>
        <sz val="10"/>
        <rFont val="Arial"/>
        <family val="2"/>
      </rPr>
      <t>form</t>
    </r>
    <r>
      <rPr>
        <sz val="10"/>
        <rFont val="Arial"/>
        <family val="0"/>
      </rPr>
      <t>° values are used in this spreadsheet.</t>
    </r>
  </si>
  <si>
    <r>
      <t xml:space="preserve">Some of the enthalpy formulas include corrections for heat capacities.  For example, for the ionization reaction Ca(g) </t>
    </r>
    <r>
      <rPr>
        <sz val="10"/>
        <rFont val="Wingdings"/>
        <family val="0"/>
      </rPr>
      <t></t>
    </r>
    <r>
      <rPr>
        <sz val="10"/>
        <rFont val="Arial"/>
        <family val="0"/>
      </rPr>
      <t xml:space="preserve"> Ca</t>
    </r>
    <r>
      <rPr>
        <vertAlign val="superscript"/>
        <sz val="10"/>
        <rFont val="Arial"/>
        <family val="0"/>
      </rPr>
      <t>2+</t>
    </r>
    <r>
      <rPr>
        <sz val="10"/>
        <rFont val="Arial"/>
        <family val="0"/>
      </rPr>
      <t>(g) + 2e</t>
    </r>
    <r>
      <rPr>
        <vertAlign val="superscript"/>
        <sz val="10"/>
        <rFont val="Arial"/>
        <family val="0"/>
      </rPr>
      <t>-</t>
    </r>
    <r>
      <rPr>
        <sz val="10"/>
        <rFont val="Arial"/>
        <family val="0"/>
      </rPr>
      <t xml:space="preserve">(g), </t>
    </r>
    <r>
      <rPr>
        <sz val="10"/>
        <rFont val="Symbol"/>
        <family val="1"/>
      </rPr>
      <t>D</t>
    </r>
    <r>
      <rPr>
        <i/>
        <sz val="10"/>
        <rFont val="Arial"/>
        <family val="2"/>
      </rPr>
      <t>H</t>
    </r>
    <r>
      <rPr>
        <vertAlign val="subscript"/>
        <sz val="10"/>
        <rFont val="Arial"/>
        <family val="2"/>
      </rPr>
      <t>ionization</t>
    </r>
    <r>
      <rPr>
        <sz val="10"/>
        <rFont val="Arial"/>
        <family val="0"/>
      </rPr>
      <t xml:space="preserve"> = IE</t>
    </r>
    <r>
      <rPr>
        <vertAlign val="subscript"/>
        <sz val="10"/>
        <rFont val="Arial"/>
        <family val="0"/>
      </rPr>
      <t>1</t>
    </r>
    <r>
      <rPr>
        <sz val="10"/>
        <rFont val="Arial"/>
        <family val="0"/>
      </rPr>
      <t xml:space="preserve"> + IE</t>
    </r>
    <r>
      <rPr>
        <vertAlign val="subscript"/>
        <sz val="10"/>
        <rFont val="Arial"/>
        <family val="0"/>
      </rPr>
      <t>2</t>
    </r>
    <r>
      <rPr>
        <sz val="10"/>
        <rFont val="Arial"/>
        <family val="0"/>
      </rPr>
      <t xml:space="preserve"> + 2 X 5/2 </t>
    </r>
    <r>
      <rPr>
        <i/>
        <sz val="10"/>
        <rFont val="Arial"/>
        <family val="2"/>
      </rPr>
      <t>RT</t>
    </r>
    <r>
      <rPr>
        <sz val="10"/>
        <rFont val="Arial"/>
        <family val="2"/>
      </rPr>
      <t xml:space="preserve">.  The last term occurs because the number of gas particles has increased by two, each with a heat capacity of 5/2 </t>
    </r>
    <r>
      <rPr>
        <i/>
        <sz val="10"/>
        <rFont val="Arial"/>
        <family val="2"/>
      </rPr>
      <t>R</t>
    </r>
    <r>
      <rPr>
        <sz val="10"/>
        <rFont val="Arial"/>
        <family val="2"/>
      </rPr>
      <t xml:space="preserve">:  3/2 </t>
    </r>
    <r>
      <rPr>
        <i/>
        <sz val="10"/>
        <rFont val="Arial"/>
        <family val="2"/>
      </rPr>
      <t>R</t>
    </r>
    <r>
      <rPr>
        <sz val="10"/>
        <rFont val="Arial"/>
        <family val="2"/>
      </rPr>
      <t xml:space="preserve"> for 3 translational degrees of freedom, and 2/2 </t>
    </r>
    <r>
      <rPr>
        <i/>
        <sz val="10"/>
        <rFont val="Arial"/>
        <family val="2"/>
      </rPr>
      <t>R</t>
    </r>
    <r>
      <rPr>
        <sz val="10"/>
        <rFont val="Arial"/>
        <family val="2"/>
      </rPr>
      <t xml:space="preserve"> because the process is at constant pressure, not constant volume.  </t>
    </r>
  </si>
  <si>
    <r>
      <t xml:space="preserve">In the Born-Haber cycles, the 5/2 </t>
    </r>
    <r>
      <rPr>
        <i/>
        <sz val="10"/>
        <rFont val="Arial"/>
        <family val="2"/>
      </rPr>
      <t>RT</t>
    </r>
    <r>
      <rPr>
        <sz val="10"/>
        <rFont val="Arial"/>
        <family val="2"/>
      </rPr>
      <t xml:space="preserve"> terms in the </t>
    </r>
    <r>
      <rPr>
        <u val="single"/>
        <sz val="10"/>
        <rFont val="Arial"/>
        <family val="2"/>
      </rPr>
      <t>ionization</t>
    </r>
    <r>
      <rPr>
        <sz val="10"/>
        <rFont val="Arial"/>
        <family val="2"/>
      </rPr>
      <t xml:space="preserve"> enthalpy cancels the 5/2 </t>
    </r>
    <r>
      <rPr>
        <i/>
        <sz val="10"/>
        <rFont val="Arial"/>
        <family val="2"/>
      </rPr>
      <t>RT</t>
    </r>
    <r>
      <rPr>
        <sz val="10"/>
        <rFont val="Arial"/>
        <family val="2"/>
      </rPr>
      <t xml:space="preserve"> term in the </t>
    </r>
    <r>
      <rPr>
        <u val="single"/>
        <sz val="10"/>
        <rFont val="Arial"/>
        <family val="2"/>
      </rPr>
      <t>electron affinity</t>
    </r>
    <r>
      <rPr>
        <sz val="10"/>
        <rFont val="Arial"/>
        <family val="2"/>
      </rPr>
      <t xml:space="preserve"> enthalpy.  These terms are included for completeness, but could have been omitted.  To make the formulas easier to understand, the named constant, RT is used (look on the "Insert" menu, "Name", "Define...").</t>
    </r>
  </si>
  <si>
    <r>
      <t xml:space="preserve">The 2nd contribution above appears to be based on the fact that the heat capacity of a solid approaches 3 </t>
    </r>
    <r>
      <rPr>
        <i/>
        <sz val="10"/>
        <rFont val="Arial"/>
        <family val="2"/>
      </rPr>
      <t>R</t>
    </r>
    <r>
      <rPr>
        <sz val="10"/>
        <rFont val="Arial"/>
        <family val="2"/>
      </rPr>
      <t xml:space="preserve"> at high temperatures.  That assumption is not valid at 298 K for some of the solids considered here.  Below are the heat capacities of several salts.  In most cases the average heat capacity is less than 3 </t>
    </r>
    <r>
      <rPr>
        <i/>
        <sz val="10"/>
        <rFont val="Arial"/>
        <family val="2"/>
      </rPr>
      <t>R</t>
    </r>
    <r>
      <rPr>
        <sz val="10"/>
        <rFont val="Arial"/>
        <family val="2"/>
      </rPr>
      <t>.</t>
    </r>
  </si>
  <si>
    <r>
      <t xml:space="preserve">A better estimate might be to assume the heat capacity of the solid is 5/2 </t>
    </r>
    <r>
      <rPr>
        <i/>
        <sz val="10"/>
        <rFont val="Arial"/>
        <family val="2"/>
      </rPr>
      <t>R</t>
    </r>
    <r>
      <rPr>
        <sz val="10"/>
        <rFont val="Arial"/>
        <family val="2"/>
      </rPr>
      <t xml:space="preserve">, rather than 3 </t>
    </r>
    <r>
      <rPr>
        <i/>
        <sz val="10"/>
        <rFont val="Arial"/>
        <family val="2"/>
      </rPr>
      <t>R</t>
    </r>
    <r>
      <rPr>
        <sz val="10"/>
        <rFont val="Arial"/>
        <family val="2"/>
      </rPr>
      <t>.  Then, no correction for heat capacity would be needed because the correction for warming the solid would cancel the correction for consuming gas phase particles.  Inorganic textbooks usually omit these the heat capacities terms, which amounts to assuming they cancel.  They will be omitted in this spreadsheet as well.</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</si>
</sst>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
    <numFmt numFmtId="167" formatCode="0.0"/>
    <numFmt numFmtId="168" formatCode="0.0000E+00"/>
    <numFmt numFmtId="169" formatCode="\+#;\-#;#"/>
    <numFmt numFmtId="170" formatCode="#;\-#;#"/>
    <numFmt numFmtId="171" formatCode="#,##0.#"/>
    <numFmt numFmtId="172" formatCode="&quot;$&quot;#,##0.00"/>
    <numFmt numFmtId="173" formatCode="\±\ #;#,###"/>
    <numFmt numFmtId="174" formatCode="0.000000"/>
    <numFmt numFmtId="175" formatCode="&quot;Yes&quot;;&quot;Yes&quot;;&quot;No&quot;"/>
    <numFmt numFmtId="176" formatCode="&quot;True&quot;;&quot;True&quot;;&quot;False&quot;"/>
    <numFmt numFmtId="177" formatCode="&quot;On&quot;;&quot;On&quot;;&quot;Off&quot;"/>
    <numFmt numFmtId="178" formatCode="[$€-2]\ #,##0.00_);[Red]\([$€-2]\ #,##0.00\)"/>
    <numFmt numFmtId="179" formatCode="0.0%"/>
    <numFmt numFmtId="180" formatCode="#.0;\-#.0;#.0"/>
  </numFmts>
  <fonts count="138">
    <font>
      <sz val="10"/>
      <name val="Arial"/>
      <family val="0"/>
    </font>
    <font>
      <u val="single"/>
      <sz val="10"/>
      <color indexed="36"/>
      <name val="Arial"/>
      <family val="0"/>
    </font>
    <font>
      <u val="single"/>
      <sz val="10"/>
      <color indexed="12"/>
      <name val="Arial"/>
      <family val="0"/>
    </font>
    <font>
      <sz val="8"/>
      <name val="Arial"/>
      <family val="0"/>
    </font>
    <font>
      <sz val="10"/>
      <name val="Symbol"/>
      <family val="1"/>
    </font>
    <font>
      <b/>
      <sz val="10"/>
      <name val="Symbol"/>
      <family val="1"/>
    </font>
    <font>
      <b/>
      <sz val="10"/>
      <name val="Arial"/>
      <family val="2"/>
    </font>
    <font>
      <i/>
      <sz val="10"/>
      <name val="Arial"/>
      <family val="2"/>
    </font>
    <font>
      <vertAlign val="superscript"/>
      <sz val="10"/>
      <name val="Arial"/>
      <family val="2"/>
    </font>
    <font>
      <sz val="12"/>
      <name val="Arial"/>
      <family val="0"/>
    </font>
    <font>
      <sz val="10"/>
      <name val="Arial Unicode MS"/>
      <family val="2"/>
    </font>
    <font>
      <sz val="8"/>
      <name val="Tahoma"/>
      <family val="0"/>
    </font>
    <font>
      <i/>
      <sz val="8"/>
      <name val="Tahoma"/>
      <family val="2"/>
    </font>
    <font>
      <b/>
      <sz val="8"/>
      <name val="Tahoma"/>
      <family val="2"/>
    </font>
    <font>
      <sz val="10"/>
      <name val="Tahoma"/>
      <family val="2"/>
    </font>
    <font>
      <sz val="9"/>
      <name val="Arial"/>
      <family val="2"/>
    </font>
    <font>
      <u val="single"/>
      <sz val="14"/>
      <color indexed="12"/>
      <name val="Arial"/>
      <family val="2"/>
    </font>
    <font>
      <sz val="10"/>
      <color indexed="8"/>
      <name val="Arial"/>
      <family val="2"/>
    </font>
    <font>
      <vertAlign val="subscript"/>
      <sz val="10"/>
      <name val="Arial"/>
      <family val="2"/>
    </font>
    <font>
      <vertAlign val="subscript"/>
      <sz val="10"/>
      <color indexed="10"/>
      <name val="Arial"/>
      <family val="0"/>
    </font>
    <font>
      <vertAlign val="superscript"/>
      <sz val="10"/>
      <color indexed="10"/>
      <name val="Arial"/>
      <family val="0"/>
    </font>
    <font>
      <sz val="10"/>
      <color indexed="10"/>
      <name val="Arial"/>
      <family val="0"/>
    </font>
    <font>
      <b/>
      <sz val="12"/>
      <name val="Arial"/>
      <family val="2"/>
    </font>
    <font>
      <i/>
      <sz val="12"/>
      <name val="Times New Roman"/>
      <family val="1"/>
    </font>
    <font>
      <i/>
      <vertAlign val="subscript"/>
      <sz val="12"/>
      <name val="Times New Roman"/>
      <family val="1"/>
    </font>
    <font>
      <sz val="10"/>
      <name val="Times New Roman"/>
      <family val="1"/>
    </font>
    <font>
      <i/>
      <sz val="10"/>
      <name val="Times New Roman"/>
      <family val="1"/>
    </font>
    <font>
      <vertAlign val="superscript"/>
      <sz val="10"/>
      <name val="Times New Roman"/>
      <family val="1"/>
    </font>
    <font>
      <sz val="10"/>
      <name val="Wingdings"/>
      <family val="0"/>
    </font>
    <font>
      <i/>
      <sz val="11"/>
      <name val="Times New Roman"/>
      <family val="1"/>
    </font>
    <font>
      <vertAlign val="subscript"/>
      <sz val="11"/>
      <name val="Times New Roman"/>
      <family val="1"/>
    </font>
    <font>
      <vertAlign val="superscript"/>
      <sz val="11"/>
      <name val="Times New Roman"/>
      <family val="1"/>
    </font>
    <font>
      <sz val="11"/>
      <name val="Times New Roman"/>
      <family val="1"/>
    </font>
    <font>
      <sz val="11"/>
      <name val="Symbol"/>
      <family val="1"/>
    </font>
    <font>
      <b/>
      <i/>
      <sz val="10"/>
      <name val="Times New Roman"/>
      <family val="1"/>
    </font>
    <font>
      <u val="single"/>
      <sz val="10"/>
      <name val="Arial"/>
      <family val="2"/>
    </font>
    <font>
      <u val="single"/>
      <sz val="10"/>
      <color indexed="12"/>
      <name val="Symbol"/>
      <family val="1"/>
    </font>
    <font>
      <sz val="12"/>
      <name val="Times New Roman"/>
      <family val="1"/>
    </font>
    <font>
      <sz val="10"/>
      <color indexed="16"/>
      <name val="Arial"/>
      <family val="0"/>
    </font>
    <font>
      <i/>
      <sz val="10"/>
      <name val="Tahoma"/>
      <family val="2"/>
    </font>
    <font>
      <b/>
      <sz val="10"/>
      <name val="Tahoma"/>
      <family val="2"/>
    </font>
    <font>
      <vertAlign val="subscript"/>
      <sz val="10"/>
      <name val="Tahoma"/>
      <family val="2"/>
    </font>
    <font>
      <i/>
      <vertAlign val="subscript"/>
      <sz val="10"/>
      <name val="Tahoma"/>
      <family val="2"/>
    </font>
    <font>
      <u val="single"/>
      <sz val="10"/>
      <name val="Tahoma"/>
      <family val="2"/>
    </font>
    <font>
      <vertAlign val="subscript"/>
      <sz val="8"/>
      <name val="Tahoma"/>
      <family val="2"/>
    </font>
    <font>
      <b/>
      <sz val="9"/>
      <name val="Arial"/>
      <family val="2"/>
    </font>
    <font>
      <b/>
      <sz val="16"/>
      <name val="Arial"/>
      <family val="2"/>
    </font>
    <font>
      <b/>
      <u val="single"/>
      <sz val="10"/>
      <name val="Arial"/>
      <family val="2"/>
    </font>
    <font>
      <i/>
      <sz val="10"/>
      <color indexed="60"/>
      <name val="Arial"/>
      <family val="2"/>
    </font>
    <font>
      <i/>
      <sz val="9"/>
      <name val="Arial"/>
      <family val="2"/>
    </font>
    <font>
      <b/>
      <i/>
      <sz val="10"/>
      <name val="Arial"/>
      <family val="2"/>
    </font>
    <font>
      <b/>
      <vertAlign val="subscript"/>
      <sz val="10"/>
      <name val="Arial"/>
      <family val="2"/>
    </font>
    <font>
      <i/>
      <vertAlign val="subscript"/>
      <sz val="10"/>
      <name val="Arial"/>
      <family val="2"/>
    </font>
    <font>
      <sz val="9"/>
      <name val="Tahoma"/>
      <family val="2"/>
    </font>
    <font>
      <i/>
      <sz val="9"/>
      <name val="Tahoma"/>
      <family val="2"/>
    </font>
    <font>
      <b/>
      <sz val="9"/>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12"/>
      <name val="Arial"/>
      <family val="0"/>
    </font>
    <font>
      <sz val="10"/>
      <color indexed="12"/>
      <name val="Arial"/>
      <family val="0"/>
    </font>
    <font>
      <b/>
      <u val="single"/>
      <sz val="10"/>
      <color indexed="12"/>
      <name val="Arial"/>
      <family val="0"/>
    </font>
    <font>
      <sz val="11.75"/>
      <color indexed="8"/>
      <name val="Arial"/>
      <family val="0"/>
    </font>
    <font>
      <sz val="9.75"/>
      <color indexed="8"/>
      <name val="Arial"/>
      <family val="0"/>
    </font>
    <font>
      <b/>
      <sz val="11.75"/>
      <color indexed="8"/>
      <name val="Arial"/>
      <family val="0"/>
    </font>
    <font>
      <sz val="9"/>
      <color indexed="8"/>
      <name val="Arial"/>
      <family val="0"/>
    </font>
    <font>
      <vertAlign val="subscript"/>
      <sz val="9"/>
      <color indexed="8"/>
      <name val="Arial"/>
      <family val="0"/>
    </font>
    <font>
      <vertAlign val="superscript"/>
      <sz val="9"/>
      <color indexed="8"/>
      <name val="Arial"/>
      <family val="0"/>
    </font>
    <font>
      <b/>
      <sz val="12"/>
      <color indexed="8"/>
      <name val="Arial"/>
      <family val="0"/>
    </font>
    <font>
      <vertAlign val="subscript"/>
      <sz val="10"/>
      <color indexed="8"/>
      <name val="Arial"/>
      <family val="0"/>
    </font>
    <font>
      <vertAlign val="subscript"/>
      <sz val="10"/>
      <color indexed="12"/>
      <name val="Arial"/>
      <family val="0"/>
    </font>
    <font>
      <vertAlign val="subscript"/>
      <sz val="10"/>
      <color indexed="23"/>
      <name val="Arial"/>
      <family val="0"/>
    </font>
    <font>
      <sz val="10"/>
      <color indexed="23"/>
      <name val="Arial"/>
      <family val="0"/>
    </font>
    <font>
      <sz val="12"/>
      <color indexed="8"/>
      <name val="Arial"/>
      <family val="0"/>
    </font>
    <font>
      <b/>
      <sz val="12"/>
      <color indexed="8"/>
      <name val="Symbol"/>
      <family val="0"/>
    </font>
    <font>
      <b/>
      <sz val="13"/>
      <color indexed="8"/>
      <name val="Symbol"/>
      <family val="0"/>
    </font>
    <font>
      <b/>
      <sz val="10"/>
      <color indexed="8"/>
      <name val="Arial"/>
      <family val="0"/>
    </font>
    <font>
      <b/>
      <sz val="10"/>
      <color indexed="8"/>
      <name val="Wingdings"/>
      <family val="0"/>
    </font>
    <font>
      <b/>
      <sz val="13"/>
      <color indexed="8"/>
      <name val="Arial"/>
      <family val="0"/>
    </font>
    <font>
      <b/>
      <sz val="14"/>
      <color indexed="8"/>
      <name val="Arial"/>
      <family val="0"/>
    </font>
    <font>
      <sz val="9.2"/>
      <color indexed="8"/>
      <name val="Arial"/>
      <family val="0"/>
    </font>
    <font>
      <b/>
      <sz val="12.75"/>
      <color indexed="8"/>
      <name val="Symbol"/>
      <family val="0"/>
    </font>
    <font>
      <b/>
      <sz val="12.75"/>
      <color indexed="8"/>
      <name val="Arial"/>
      <family val="0"/>
    </font>
    <font>
      <b/>
      <i/>
      <sz val="14"/>
      <color indexed="8"/>
      <name val="Arial"/>
      <family val="0"/>
    </font>
    <font>
      <i/>
      <sz val="9"/>
      <color indexed="8"/>
      <name val="Arial"/>
      <family val="0"/>
    </font>
    <font>
      <sz val="9.25"/>
      <color indexed="8"/>
      <name val="Arial"/>
      <family val="0"/>
    </font>
    <font>
      <b/>
      <sz val="9.25"/>
      <color indexed="8"/>
      <name val="Arial"/>
      <family val="0"/>
    </font>
    <font>
      <b/>
      <sz val="9.25"/>
      <color indexed="8"/>
      <name val="Symbol"/>
      <family val="0"/>
    </font>
    <font>
      <b/>
      <i/>
      <sz val="9.25"/>
      <color indexed="8"/>
      <name val="Arial"/>
      <family val="0"/>
    </font>
    <font>
      <b/>
      <vertAlign val="subscript"/>
      <sz val="9.25"/>
      <color indexed="8"/>
      <name val="Arial"/>
      <family val="0"/>
    </font>
    <font>
      <sz val="9.25"/>
      <color indexed="14"/>
      <name val="Arial"/>
      <family val="0"/>
    </font>
    <font>
      <sz val="9.25"/>
      <color indexed="18"/>
      <name val="Arial"/>
      <family val="0"/>
    </font>
    <font>
      <sz val="9.25"/>
      <color indexed="15"/>
      <name val="Arial"/>
      <family val="0"/>
    </font>
    <font>
      <sz val="9.25"/>
      <color indexed="10"/>
      <name val="Arial"/>
      <family val="0"/>
    </font>
    <font>
      <b/>
      <sz val="11"/>
      <color indexed="8"/>
      <name val="Arial Black"/>
      <family val="0"/>
    </font>
    <font>
      <b/>
      <sz val="11"/>
      <color indexed="8"/>
      <name val="Symbol"/>
      <family val="0"/>
    </font>
    <font>
      <b/>
      <i/>
      <sz val="11"/>
      <color indexed="8"/>
      <name val="Arial"/>
      <family val="0"/>
    </font>
    <font>
      <b/>
      <vertAlign val="subscript"/>
      <sz val="11"/>
      <color indexed="8"/>
      <name val="Arial"/>
      <family val="0"/>
    </font>
    <font>
      <b/>
      <sz val="11"/>
      <color indexed="8"/>
      <name val="Arial"/>
      <family val="0"/>
    </font>
    <font>
      <sz val="10.75"/>
      <color indexed="8"/>
      <name val="Arial"/>
      <family val="0"/>
    </font>
    <font>
      <b/>
      <sz val="10.75"/>
      <color indexed="8"/>
      <name val="Arial"/>
      <family val="0"/>
    </font>
    <font>
      <b/>
      <i/>
      <vertAlign val="subscript"/>
      <sz val="10.75"/>
      <color indexed="8"/>
      <name val="Arial"/>
      <family val="0"/>
    </font>
    <font>
      <b/>
      <i/>
      <sz val="10.75"/>
      <color indexed="8"/>
      <name val="Arial"/>
      <family val="0"/>
    </font>
    <font>
      <i/>
      <sz val="12"/>
      <color indexed="8"/>
      <name val="Arial"/>
      <family val="0"/>
    </font>
    <font>
      <vertAlign val="subscript"/>
      <sz val="10.75"/>
      <color indexed="8"/>
      <name val="Arial"/>
      <family val="0"/>
    </font>
    <font>
      <sz val="11"/>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style="thin"/>
    </border>
    <border>
      <left style="thin"/>
      <right style="dotted">
        <color indexed="9"/>
      </right>
      <top style="thick"/>
      <bottom style="dotted">
        <color indexed="9"/>
      </bottom>
    </border>
    <border>
      <left style="dotted">
        <color indexed="9"/>
      </left>
      <right style="dotted">
        <color indexed="9"/>
      </right>
      <top style="thick"/>
      <bottom style="dotted">
        <color indexed="9"/>
      </bottom>
    </border>
    <border>
      <left style="dotted">
        <color indexed="9"/>
      </left>
      <right style="dotted">
        <color indexed="9"/>
      </right>
      <top style="thick"/>
      <bottom>
        <color indexed="63"/>
      </bottom>
    </border>
    <border>
      <left style="dotted">
        <color indexed="9"/>
      </left>
      <right style="thin"/>
      <top style="thick"/>
      <bottom style="dotted">
        <color indexed="9"/>
      </bottom>
    </border>
    <border>
      <left style="thin"/>
      <right style="dotted">
        <color indexed="9"/>
      </right>
      <top style="dotted">
        <color indexed="9"/>
      </top>
      <bottom style="dotted">
        <color indexed="9"/>
      </bottom>
    </border>
    <border>
      <left style="dotted">
        <color indexed="9"/>
      </left>
      <right style="dotted">
        <color indexed="9"/>
      </right>
      <top style="dotted">
        <color indexed="9"/>
      </top>
      <bottom style="dotted">
        <color indexed="9"/>
      </bottom>
    </border>
    <border>
      <left style="dotted">
        <color indexed="9"/>
      </left>
      <right style="dotted">
        <color indexed="9"/>
      </right>
      <top style="dotted">
        <color indexed="9"/>
      </top>
      <bottom>
        <color indexed="63"/>
      </bottom>
    </border>
    <border>
      <left style="dotted">
        <color indexed="9"/>
      </left>
      <right style="thin"/>
      <top style="dotted">
        <color indexed="9"/>
      </top>
      <bottom style="dotted">
        <color indexed="9"/>
      </bottom>
    </border>
    <border>
      <left style="dotted">
        <color indexed="9"/>
      </left>
      <right>
        <color indexed="63"/>
      </right>
      <top style="dotted">
        <color indexed="9"/>
      </top>
      <bottom style="dotted">
        <color indexed="9"/>
      </bottom>
    </border>
    <border>
      <left style="dotted">
        <color indexed="9"/>
      </left>
      <right style="dotted">
        <color indexed="9"/>
      </right>
      <top>
        <color indexed="63"/>
      </top>
      <bottom style="dotted">
        <color indexed="9"/>
      </bottom>
    </border>
    <border>
      <left style="thin">
        <color indexed="22"/>
      </left>
      <right>
        <color indexed="63"/>
      </right>
      <top>
        <color indexed="63"/>
      </top>
      <bottom>
        <color indexed="63"/>
      </bottom>
    </border>
    <border>
      <left style="thin"/>
      <right style="dotted">
        <color indexed="9"/>
      </right>
      <top style="dotted">
        <color indexed="9"/>
      </top>
      <bottom>
        <color indexed="63"/>
      </bottom>
    </border>
    <border>
      <left style="dotted">
        <color indexed="9"/>
      </left>
      <right style="thin"/>
      <top style="dotted">
        <color indexed="9"/>
      </top>
      <bottom>
        <color indexed="63"/>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color indexed="9"/>
      </left>
      <right style="thin"/>
      <top style="thin">
        <color indexed="9"/>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0" fillId="2" borderId="0" applyNumberFormat="0" applyBorder="0" applyAlignment="0" applyProtection="0"/>
    <xf numFmtId="0" fontId="120" fillId="3" borderId="0" applyNumberFormat="0" applyBorder="0" applyAlignment="0" applyProtection="0"/>
    <xf numFmtId="0" fontId="120" fillId="4" borderId="0" applyNumberFormat="0" applyBorder="0" applyAlignment="0" applyProtection="0"/>
    <xf numFmtId="0" fontId="120" fillId="5" borderId="0" applyNumberFormat="0" applyBorder="0" applyAlignment="0" applyProtection="0"/>
    <xf numFmtId="0" fontId="120" fillId="6" borderId="0" applyNumberFormat="0" applyBorder="0" applyAlignment="0" applyProtection="0"/>
    <xf numFmtId="0" fontId="120" fillId="7" borderId="0" applyNumberFormat="0" applyBorder="0" applyAlignment="0" applyProtection="0"/>
    <xf numFmtId="0" fontId="120" fillId="8" borderId="0" applyNumberFormat="0" applyBorder="0" applyAlignment="0" applyProtection="0"/>
    <xf numFmtId="0" fontId="120" fillId="9" borderId="0" applyNumberFormat="0" applyBorder="0" applyAlignment="0" applyProtection="0"/>
    <xf numFmtId="0" fontId="120" fillId="10" borderId="0" applyNumberFormat="0" applyBorder="0" applyAlignment="0" applyProtection="0"/>
    <xf numFmtId="0" fontId="120" fillId="11" borderId="0" applyNumberFormat="0" applyBorder="0" applyAlignment="0" applyProtection="0"/>
    <xf numFmtId="0" fontId="120" fillId="12" borderId="0" applyNumberFormat="0" applyBorder="0" applyAlignment="0" applyProtection="0"/>
    <xf numFmtId="0" fontId="120" fillId="13" borderId="0" applyNumberFormat="0" applyBorder="0" applyAlignment="0" applyProtection="0"/>
    <xf numFmtId="0" fontId="121" fillId="14" borderId="0" applyNumberFormat="0" applyBorder="0" applyAlignment="0" applyProtection="0"/>
    <xf numFmtId="0" fontId="121" fillId="15" borderId="0" applyNumberFormat="0" applyBorder="0" applyAlignment="0" applyProtection="0"/>
    <xf numFmtId="0" fontId="121" fillId="16" borderId="0" applyNumberFormat="0" applyBorder="0" applyAlignment="0" applyProtection="0"/>
    <xf numFmtId="0" fontId="121" fillId="17" borderId="0" applyNumberFormat="0" applyBorder="0" applyAlignment="0" applyProtection="0"/>
    <xf numFmtId="0" fontId="121" fillId="18" borderId="0" applyNumberFormat="0" applyBorder="0" applyAlignment="0" applyProtection="0"/>
    <xf numFmtId="0" fontId="121" fillId="19" borderId="0" applyNumberFormat="0" applyBorder="0" applyAlignment="0" applyProtection="0"/>
    <xf numFmtId="0" fontId="121" fillId="20" borderId="0" applyNumberFormat="0" applyBorder="0" applyAlignment="0" applyProtection="0"/>
    <xf numFmtId="0" fontId="121" fillId="21" borderId="0" applyNumberFormat="0" applyBorder="0" applyAlignment="0" applyProtection="0"/>
    <xf numFmtId="0" fontId="121" fillId="22" borderId="0" applyNumberFormat="0" applyBorder="0" applyAlignment="0" applyProtection="0"/>
    <xf numFmtId="0" fontId="121" fillId="23" borderId="0" applyNumberFormat="0" applyBorder="0" applyAlignment="0" applyProtection="0"/>
    <xf numFmtId="0" fontId="121" fillId="24" borderId="0" applyNumberFormat="0" applyBorder="0" applyAlignment="0" applyProtection="0"/>
    <xf numFmtId="0" fontId="121" fillId="25" borderId="0" applyNumberFormat="0" applyBorder="0" applyAlignment="0" applyProtection="0"/>
    <xf numFmtId="0" fontId="122" fillId="26" borderId="0" applyNumberFormat="0" applyBorder="0" applyAlignment="0" applyProtection="0"/>
    <xf numFmtId="0" fontId="123" fillId="27" borderId="1" applyNumberFormat="0" applyAlignment="0" applyProtection="0"/>
    <xf numFmtId="0" fontId="1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5" fillId="0" borderId="0" applyNumberFormat="0" applyFill="0" applyBorder="0" applyAlignment="0" applyProtection="0"/>
    <xf numFmtId="0" fontId="1" fillId="0" borderId="0" applyNumberFormat="0" applyFill="0" applyBorder="0" applyAlignment="0" applyProtection="0"/>
    <xf numFmtId="0" fontId="126" fillId="29" borderId="0" applyNumberFormat="0" applyBorder="0" applyAlignment="0" applyProtection="0"/>
    <xf numFmtId="0" fontId="127" fillId="0" borderId="3" applyNumberFormat="0" applyFill="0" applyAlignment="0" applyProtection="0"/>
    <xf numFmtId="0" fontId="128" fillId="0" borderId="4" applyNumberFormat="0" applyFill="0" applyAlignment="0" applyProtection="0"/>
    <xf numFmtId="0" fontId="129" fillId="0" borderId="5" applyNumberFormat="0" applyFill="0" applyAlignment="0" applyProtection="0"/>
    <xf numFmtId="0" fontId="129" fillId="0" borderId="0" applyNumberFormat="0" applyFill="0" applyBorder="0" applyAlignment="0" applyProtection="0"/>
    <xf numFmtId="0" fontId="2" fillId="0" borderId="0" applyNumberFormat="0" applyFill="0" applyBorder="0" applyAlignment="0" applyProtection="0"/>
    <xf numFmtId="0" fontId="130" fillId="30" borderId="1" applyNumberFormat="0" applyAlignment="0" applyProtection="0"/>
    <xf numFmtId="0" fontId="131" fillId="0" borderId="6" applyNumberFormat="0" applyFill="0" applyAlignment="0" applyProtection="0"/>
    <xf numFmtId="0" fontId="132" fillId="31" borderId="0" applyNumberFormat="0" applyBorder="0" applyAlignment="0" applyProtection="0"/>
    <xf numFmtId="0" fontId="0" fillId="32" borderId="7" applyNumberFormat="0" applyFont="0" applyAlignment="0" applyProtection="0"/>
    <xf numFmtId="0" fontId="133" fillId="27" borderId="8" applyNumberFormat="0" applyAlignment="0" applyProtection="0"/>
    <xf numFmtId="9" fontId="0" fillId="0" borderId="0" applyFont="0" applyFill="0" applyBorder="0" applyAlignment="0" applyProtection="0"/>
    <xf numFmtId="0" fontId="134" fillId="0" borderId="0" applyNumberFormat="0" applyFill="0" applyBorder="0" applyAlignment="0" applyProtection="0"/>
    <xf numFmtId="0" fontId="135" fillId="0" borderId="9" applyNumberFormat="0" applyFill="0" applyAlignment="0" applyProtection="0"/>
    <xf numFmtId="0" fontId="136" fillId="0" borderId="0" applyNumberFormat="0" applyFill="0" applyBorder="0" applyAlignment="0" applyProtection="0"/>
  </cellStyleXfs>
  <cellXfs count="354">
    <xf numFmtId="0" fontId="0" fillId="0" borderId="0" xfId="0" applyAlignment="1">
      <alignment/>
    </xf>
    <xf numFmtId="0" fontId="0" fillId="0" borderId="0" xfId="0" applyFill="1" applyBorder="1" applyAlignment="1">
      <alignment/>
    </xf>
    <xf numFmtId="0" fontId="0" fillId="0" borderId="0" xfId="0" applyFill="1" applyAlignment="1">
      <alignment/>
    </xf>
    <xf numFmtId="0" fontId="0" fillId="0" borderId="0" xfId="0" applyBorder="1" applyAlignment="1">
      <alignment/>
    </xf>
    <xf numFmtId="0" fontId="0" fillId="0" borderId="0" xfId="0" applyAlignment="1">
      <alignment horizontal="center"/>
    </xf>
    <xf numFmtId="0" fontId="0" fillId="0" borderId="0" xfId="0" applyAlignment="1">
      <alignment horizontal="right"/>
    </xf>
    <xf numFmtId="0" fontId="0" fillId="0" borderId="10" xfId="0" applyBorder="1" applyAlignment="1">
      <alignment horizontal="center"/>
    </xf>
    <xf numFmtId="0" fontId="4" fillId="0" borderId="10" xfId="0" applyFont="1" applyBorder="1" applyAlignment="1">
      <alignment horizontal="center"/>
    </xf>
    <xf numFmtId="0" fontId="0" fillId="0" borderId="10" xfId="0" applyBorder="1" applyAlignment="1">
      <alignment/>
    </xf>
    <xf numFmtId="0" fontId="0" fillId="0" borderId="11" xfId="0" applyBorder="1" applyAlignment="1">
      <alignment horizontal="center"/>
    </xf>
    <xf numFmtId="0" fontId="5" fillId="0" borderId="10" xfId="0" applyFont="1" applyBorder="1" applyAlignment="1">
      <alignment horizontal="center"/>
    </xf>
    <xf numFmtId="0" fontId="6" fillId="0" borderId="10" xfId="0" applyFont="1" applyBorder="1" applyAlignment="1">
      <alignment horizontal="center"/>
    </xf>
    <xf numFmtId="0" fontId="0" fillId="0" borderId="0" xfId="0" applyBorder="1" applyAlignment="1">
      <alignment horizontal="right"/>
    </xf>
    <xf numFmtId="0" fontId="0" fillId="33" borderId="0" xfId="0" applyFill="1" applyAlignment="1">
      <alignment horizontal="center"/>
    </xf>
    <xf numFmtId="2" fontId="0" fillId="0" borderId="0" xfId="0" applyNumberFormat="1" applyFill="1" applyAlignment="1">
      <alignment horizontal="center"/>
    </xf>
    <xf numFmtId="1" fontId="0" fillId="0" borderId="0" xfId="0" applyNumberFormat="1" applyFill="1" applyAlignment="1">
      <alignment horizontal="center"/>
    </xf>
    <xf numFmtId="0" fontId="0" fillId="34" borderId="0" xfId="0" applyFill="1" applyAlignment="1">
      <alignment horizontal="center"/>
    </xf>
    <xf numFmtId="2" fontId="0" fillId="0" borderId="0" xfId="0" applyNumberFormat="1" applyFill="1" applyAlignment="1">
      <alignment/>
    </xf>
    <xf numFmtId="1" fontId="0" fillId="0" borderId="0" xfId="0" applyNumberFormat="1" applyFill="1" applyAlignment="1">
      <alignment/>
    </xf>
    <xf numFmtId="0" fontId="0" fillId="0" borderId="0" xfId="0" applyAlignment="1">
      <alignment/>
    </xf>
    <xf numFmtId="0" fontId="6" fillId="0" borderId="0" xfId="0" applyFont="1" applyAlignment="1">
      <alignment/>
    </xf>
    <xf numFmtId="0" fontId="0" fillId="0" borderId="0" xfId="0" applyAlignment="1" quotePrefix="1">
      <alignment horizontal="right"/>
    </xf>
    <xf numFmtId="2" fontId="0" fillId="0" borderId="0" xfId="0" applyNumberFormat="1" applyFill="1" applyBorder="1" applyAlignment="1">
      <alignment/>
    </xf>
    <xf numFmtId="1" fontId="0" fillId="0" borderId="0" xfId="0" applyNumberFormat="1" applyFill="1" applyBorder="1" applyAlignment="1">
      <alignment/>
    </xf>
    <xf numFmtId="0" fontId="9" fillId="0" borderId="0" xfId="0" applyFont="1" applyAlignment="1">
      <alignment/>
    </xf>
    <xf numFmtId="0" fontId="0" fillId="0" borderId="0" xfId="0" applyFill="1" applyAlignment="1" quotePrefix="1">
      <alignment horizontal="right"/>
    </xf>
    <xf numFmtId="0" fontId="0" fillId="0" borderId="0" xfId="0" applyAlignment="1" quotePrefix="1">
      <alignment/>
    </xf>
    <xf numFmtId="0" fontId="0" fillId="0" borderId="10" xfId="0" applyFont="1" applyBorder="1" applyAlignment="1">
      <alignment horizontal="left"/>
    </xf>
    <xf numFmtId="0" fontId="0" fillId="0" borderId="0" xfId="0" applyBorder="1" applyAlignment="1" quotePrefix="1">
      <alignment horizontal="right"/>
    </xf>
    <xf numFmtId="0" fontId="10" fillId="0" borderId="0" xfId="0" applyFont="1" applyAlignment="1">
      <alignment/>
    </xf>
    <xf numFmtId="0" fontId="0" fillId="33" borderId="10" xfId="0" applyFill="1" applyBorder="1" applyAlignment="1">
      <alignment horizontal="left"/>
    </xf>
    <xf numFmtId="0" fontId="0" fillId="0" borderId="10" xfId="0" applyFill="1" applyBorder="1" applyAlignment="1">
      <alignment/>
    </xf>
    <xf numFmtId="0" fontId="0" fillId="0" borderId="0" xfId="0" applyFont="1" applyBorder="1" applyAlignment="1">
      <alignment horizontal="center"/>
    </xf>
    <xf numFmtId="0" fontId="0" fillId="0" borderId="0" xfId="0" applyFont="1" applyAlignment="1">
      <alignment/>
    </xf>
    <xf numFmtId="167" fontId="0" fillId="0" borderId="0" xfId="0" applyNumberFormat="1" applyAlignment="1">
      <alignment/>
    </xf>
    <xf numFmtId="2" fontId="0" fillId="0" borderId="0" xfId="0" applyNumberFormat="1" applyAlignment="1">
      <alignment/>
    </xf>
    <xf numFmtId="0" fontId="0" fillId="0" borderId="0" xfId="0" applyAlignment="1">
      <alignment vertical="top"/>
    </xf>
    <xf numFmtId="0" fontId="0" fillId="0" borderId="0" xfId="0" applyAlignment="1">
      <alignment vertical="top" wrapText="1"/>
    </xf>
    <xf numFmtId="0" fontId="0" fillId="34" borderId="0" xfId="0" applyFill="1" applyAlignment="1">
      <alignment/>
    </xf>
    <xf numFmtId="0" fontId="0" fillId="34" borderId="0" xfId="0" applyFill="1" applyAlignment="1">
      <alignment horizontal="right"/>
    </xf>
    <xf numFmtId="0" fontId="0" fillId="0" borderId="0" xfId="0" applyBorder="1" applyAlignment="1" applyProtection="1">
      <alignment/>
      <protection locked="0"/>
    </xf>
    <xf numFmtId="0" fontId="0" fillId="0" borderId="12" xfId="0" applyBorder="1" applyAlignment="1" applyProtection="1">
      <alignment/>
      <protection locked="0"/>
    </xf>
    <xf numFmtId="0" fontId="0" fillId="0" borderId="13" xfId="0" applyBorder="1" applyAlignment="1" applyProtection="1">
      <alignment/>
      <protection locked="0"/>
    </xf>
    <xf numFmtId="0" fontId="6" fillId="0" borderId="13" xfId="0" applyFont="1" applyBorder="1" applyAlignment="1" applyProtection="1">
      <alignment/>
      <protection locked="0"/>
    </xf>
    <xf numFmtId="11" fontId="0" fillId="0" borderId="0" xfId="0" applyNumberFormat="1" applyBorder="1" applyAlignment="1">
      <alignment horizontal="center"/>
    </xf>
    <xf numFmtId="0" fontId="7" fillId="0" borderId="14" xfId="0" applyFont="1" applyFill="1" applyBorder="1" applyAlignment="1" applyProtection="1">
      <alignment/>
      <protection locked="0"/>
    </xf>
    <xf numFmtId="0" fontId="0" fillId="0" borderId="14" xfId="0" applyFill="1" applyBorder="1" applyAlignment="1" applyProtection="1">
      <alignment/>
      <protection locked="0"/>
    </xf>
    <xf numFmtId="0" fontId="0" fillId="0" borderId="15" xfId="0" applyBorder="1" applyAlignment="1" applyProtection="1">
      <alignment/>
      <protection locked="0"/>
    </xf>
    <xf numFmtId="0" fontId="0" fillId="0" borderId="0" xfId="0" applyAlignment="1" applyProtection="1">
      <alignment/>
      <protection locked="0"/>
    </xf>
    <xf numFmtId="0" fontId="0" fillId="0" borderId="16" xfId="0" applyBorder="1" applyAlignment="1" applyProtection="1">
      <alignment/>
      <protection locked="0"/>
    </xf>
    <xf numFmtId="0" fontId="0" fillId="0" borderId="17" xfId="0" applyBorder="1" applyAlignment="1" applyProtection="1">
      <alignment/>
      <protection locked="0"/>
    </xf>
    <xf numFmtId="0" fontId="9" fillId="0" borderId="17" xfId="0" applyFont="1" applyBorder="1" applyAlignment="1" applyProtection="1">
      <alignment/>
      <protection locked="0"/>
    </xf>
    <xf numFmtId="0" fontId="9" fillId="0" borderId="0" xfId="0" applyFont="1" applyAlignment="1" applyProtection="1">
      <alignment/>
      <protection locked="0"/>
    </xf>
    <xf numFmtId="0" fontId="0" fillId="0" borderId="18" xfId="0" applyBorder="1" applyAlignment="1" applyProtection="1">
      <alignment/>
      <protection locked="0"/>
    </xf>
    <xf numFmtId="0" fontId="7" fillId="35" borderId="17" xfId="0" applyFont="1" applyFill="1" applyBorder="1" applyAlignment="1" applyProtection="1">
      <alignment/>
      <protection locked="0"/>
    </xf>
    <xf numFmtId="0" fontId="0" fillId="35" borderId="17" xfId="0" applyFill="1" applyBorder="1" applyAlignment="1" applyProtection="1">
      <alignment/>
      <protection locked="0"/>
    </xf>
    <xf numFmtId="0" fontId="0" fillId="0" borderId="19" xfId="0" applyBorder="1" applyAlignment="1" applyProtection="1">
      <alignment/>
      <protection locked="0"/>
    </xf>
    <xf numFmtId="0" fontId="22" fillId="0" borderId="0" xfId="0" applyFont="1" applyAlignment="1" applyProtection="1">
      <alignment/>
      <protection locked="0"/>
    </xf>
    <xf numFmtId="0" fontId="0" fillId="0" borderId="0" xfId="0" applyAlignment="1" applyProtection="1">
      <alignment horizontal="right"/>
      <protection locked="0"/>
    </xf>
    <xf numFmtId="0" fontId="22" fillId="0" borderId="0" xfId="0" applyFont="1" applyAlignment="1" applyProtection="1">
      <alignment horizontal="center"/>
      <protection locked="0"/>
    </xf>
    <xf numFmtId="0" fontId="22" fillId="0" borderId="0" xfId="0" applyFont="1" applyAlignment="1" applyProtection="1">
      <alignment horizontal="left"/>
      <protection locked="0"/>
    </xf>
    <xf numFmtId="0" fontId="0" fillId="0" borderId="20" xfId="0" applyBorder="1" applyAlignment="1" applyProtection="1">
      <alignment/>
      <protection locked="0"/>
    </xf>
    <xf numFmtId="0" fontId="0" fillId="0" borderId="17" xfId="0" applyBorder="1" applyAlignment="1">
      <alignment/>
    </xf>
    <xf numFmtId="0" fontId="0" fillId="0" borderId="0" xfId="0" applyAlignment="1" applyProtection="1">
      <alignment horizontal="center"/>
      <protection locked="0"/>
    </xf>
    <xf numFmtId="0" fontId="0" fillId="0" borderId="0" xfId="0" applyAlignment="1" applyProtection="1">
      <alignment horizontal="left"/>
      <protection locked="0"/>
    </xf>
    <xf numFmtId="0" fontId="0" fillId="0" borderId="21" xfId="0" applyBorder="1" applyAlignment="1" applyProtection="1">
      <alignment/>
      <protection locked="0"/>
    </xf>
    <xf numFmtId="49" fontId="0" fillId="33" borderId="0" xfId="0" applyNumberFormat="1" applyFill="1" applyAlignment="1" applyProtection="1">
      <alignment horizontal="right"/>
      <protection locked="0"/>
    </xf>
    <xf numFmtId="0" fontId="18" fillId="33" borderId="22" xfId="0" applyFont="1" applyFill="1" applyBorder="1" applyAlignment="1" applyProtection="1">
      <alignment horizontal="left"/>
      <protection locked="0"/>
    </xf>
    <xf numFmtId="0" fontId="0" fillId="33" borderId="0" xfId="0" applyFont="1" applyFill="1" applyAlignment="1" applyProtection="1">
      <alignment horizontal="center"/>
      <protection locked="0"/>
    </xf>
    <xf numFmtId="0" fontId="0" fillId="0" borderId="0" xfId="0" applyNumberFormat="1" applyAlignment="1" applyProtection="1">
      <alignment horizontal="center"/>
      <protection locked="0"/>
    </xf>
    <xf numFmtId="11" fontId="0" fillId="0" borderId="0" xfId="0" applyNumberFormat="1" applyAlignment="1" applyProtection="1">
      <alignment/>
      <protection locked="0"/>
    </xf>
    <xf numFmtId="0" fontId="0" fillId="0" borderId="0" xfId="0" applyAlignment="1" applyProtection="1">
      <alignment/>
      <protection locked="0"/>
    </xf>
    <xf numFmtId="0" fontId="0" fillId="0" borderId="0" xfId="0" applyFill="1" applyBorder="1" applyAlignment="1" applyProtection="1">
      <alignment/>
      <protection locked="0"/>
    </xf>
    <xf numFmtId="0" fontId="6" fillId="0" borderId="0" xfId="0" applyFont="1" applyAlignment="1" applyProtection="1">
      <alignment horizontal="right"/>
      <protection locked="0"/>
    </xf>
    <xf numFmtId="0" fontId="0" fillId="33" borderId="0" xfId="0" applyFont="1" applyFill="1" applyBorder="1" applyAlignment="1" applyProtection="1">
      <alignment/>
      <protection locked="0"/>
    </xf>
    <xf numFmtId="0" fontId="0" fillId="36" borderId="0" xfId="0" applyFill="1" applyAlignment="1" applyProtection="1">
      <alignment horizontal="right"/>
      <protection/>
    </xf>
    <xf numFmtId="0" fontId="4" fillId="0" borderId="0" xfId="0" applyFont="1" applyAlignment="1" applyProtection="1">
      <alignment horizontal="right"/>
      <protection locked="0"/>
    </xf>
    <xf numFmtId="0" fontId="0" fillId="0" borderId="0" xfId="0" applyFill="1" applyAlignment="1" applyProtection="1">
      <alignment/>
      <protection/>
    </xf>
    <xf numFmtId="0" fontId="0" fillId="0" borderId="0" xfId="0" applyFont="1" applyBorder="1" applyAlignment="1" applyProtection="1">
      <alignment horizontal="right"/>
      <protection locked="0"/>
    </xf>
    <xf numFmtId="0" fontId="0" fillId="33" borderId="0" xfId="0" applyFill="1" applyBorder="1" applyAlignment="1" applyProtection="1">
      <alignment/>
      <protection locked="0"/>
    </xf>
    <xf numFmtId="0" fontId="4" fillId="0" borderId="0" xfId="0" applyFont="1" applyAlignment="1" applyProtection="1">
      <alignment horizontal="left"/>
      <protection locked="0"/>
    </xf>
    <xf numFmtId="0" fontId="4" fillId="0" borderId="10" xfId="0" applyFont="1" applyBorder="1" applyAlignment="1" applyProtection="1">
      <alignment horizontal="right"/>
      <protection locked="0"/>
    </xf>
    <xf numFmtId="167" fontId="0" fillId="0" borderId="10" xfId="0" applyNumberFormat="1" applyFill="1" applyBorder="1" applyAlignment="1" applyProtection="1">
      <alignment/>
      <protection/>
    </xf>
    <xf numFmtId="0" fontId="7" fillId="0" borderId="10" xfId="0" applyFont="1" applyBorder="1" applyAlignment="1" applyProtection="1">
      <alignment horizontal="center"/>
      <protection locked="0"/>
    </xf>
    <xf numFmtId="0" fontId="0" fillId="33" borderId="10" xfId="0" applyFill="1" applyBorder="1" applyAlignment="1" applyProtection="1">
      <alignment/>
      <protection locked="0"/>
    </xf>
    <xf numFmtId="0" fontId="0" fillId="0" borderId="10" xfId="0" applyFill="1" applyBorder="1" applyAlignment="1" applyProtection="1">
      <alignment/>
      <protection locked="0"/>
    </xf>
    <xf numFmtId="0" fontId="0" fillId="0" borderId="0" xfId="0" applyFill="1" applyBorder="1" applyAlignment="1" applyProtection="1">
      <alignment horizontal="right"/>
      <protection locked="0"/>
    </xf>
    <xf numFmtId="0" fontId="0" fillId="0" borderId="0" xfId="0" applyFill="1" applyBorder="1" applyAlignment="1" applyProtection="1">
      <alignment horizontal="left"/>
      <protection locked="0"/>
    </xf>
    <xf numFmtId="0" fontId="0" fillId="0" borderId="23" xfId="0" applyBorder="1" applyAlignment="1" applyProtection="1">
      <alignment/>
      <protection locked="0"/>
    </xf>
    <xf numFmtId="0" fontId="0" fillId="0" borderId="24" xfId="0" applyBorder="1" applyAlignment="1" applyProtection="1">
      <alignment/>
      <protection locked="0"/>
    </xf>
    <xf numFmtId="0" fontId="0" fillId="33" borderId="0" xfId="0" applyFill="1" applyAlignment="1" applyProtection="1">
      <alignment/>
      <protection locked="0"/>
    </xf>
    <xf numFmtId="0" fontId="0" fillId="33" borderId="0" xfId="0" applyNumberFormat="1" applyFill="1" applyAlignment="1" applyProtection="1">
      <alignment/>
      <protection locked="0"/>
    </xf>
    <xf numFmtId="0" fontId="0" fillId="36" borderId="0" xfId="0" applyFill="1" applyAlignment="1" applyProtection="1">
      <alignment horizontal="center"/>
      <protection/>
    </xf>
    <xf numFmtId="167" fontId="0" fillId="0" borderId="0" xfId="0" applyNumberFormat="1" applyFill="1" applyAlignment="1" applyProtection="1">
      <alignment/>
      <protection/>
    </xf>
    <xf numFmtId="0" fontId="0" fillId="0" borderId="0" xfId="0" applyBorder="1" applyAlignment="1" applyProtection="1">
      <alignment horizontal="left"/>
      <protection locked="0"/>
    </xf>
    <xf numFmtId="0" fontId="0" fillId="33" borderId="0" xfId="0" applyFill="1" applyBorder="1" applyAlignment="1" applyProtection="1">
      <alignment/>
      <protection locked="0"/>
    </xf>
    <xf numFmtId="0" fontId="7" fillId="0" borderId="0" xfId="0" applyFont="1" applyAlignment="1" applyProtection="1">
      <alignment horizontal="right"/>
      <protection locked="0"/>
    </xf>
    <xf numFmtId="167" fontId="0" fillId="0" borderId="0" xfId="0" applyNumberFormat="1" applyAlignment="1" applyProtection="1">
      <alignment/>
      <protection/>
    </xf>
    <xf numFmtId="0" fontId="0" fillId="0" borderId="25" xfId="0" applyBorder="1" applyAlignment="1" applyProtection="1">
      <alignment/>
      <protection locked="0"/>
    </xf>
    <xf numFmtId="0" fontId="0" fillId="0" borderId="26" xfId="0" applyBorder="1" applyAlignment="1" applyProtection="1">
      <alignment/>
      <protection locked="0"/>
    </xf>
    <xf numFmtId="0" fontId="0" fillId="0" borderId="27" xfId="0" applyBorder="1" applyAlignment="1" applyProtection="1">
      <alignment/>
      <protection locked="0"/>
    </xf>
    <xf numFmtId="0" fontId="0" fillId="36" borderId="0" xfId="0" applyFill="1" applyAlignment="1" applyProtection="1">
      <alignment/>
      <protection/>
    </xf>
    <xf numFmtId="0" fontId="4" fillId="0" borderId="0" xfId="0" applyFont="1" applyBorder="1" applyAlignment="1" applyProtection="1">
      <alignment horizontal="right"/>
      <protection locked="0"/>
    </xf>
    <xf numFmtId="167" fontId="0" fillId="0" borderId="0" xfId="0" applyNumberFormat="1" applyFill="1" applyBorder="1" applyAlignment="1" applyProtection="1">
      <alignment/>
      <protection/>
    </xf>
    <xf numFmtId="0" fontId="7" fillId="0" borderId="0" xfId="0" applyFont="1" applyBorder="1" applyAlignment="1" applyProtection="1">
      <alignment horizontal="left"/>
      <protection locked="0"/>
    </xf>
    <xf numFmtId="0" fontId="3" fillId="0" borderId="0" xfId="0" applyFont="1" applyBorder="1" applyAlignment="1" applyProtection="1">
      <alignment horizontal="right"/>
      <protection locked="0"/>
    </xf>
    <xf numFmtId="0" fontId="0" fillId="0" borderId="0" xfId="0" applyFont="1" applyAlignment="1" applyProtection="1">
      <alignment horizontal="right"/>
      <protection locked="0"/>
    </xf>
    <xf numFmtId="0" fontId="0" fillId="0" borderId="0" xfId="0" applyAlignment="1" applyProtection="1">
      <alignment/>
      <protection/>
    </xf>
    <xf numFmtId="0" fontId="0" fillId="0" borderId="28" xfId="0" applyBorder="1" applyAlignment="1">
      <alignment horizontal="right"/>
    </xf>
    <xf numFmtId="0" fontId="4" fillId="0" borderId="29" xfId="0" applyFont="1" applyBorder="1" applyAlignment="1" applyProtection="1" quotePrefix="1">
      <alignment horizontal="right"/>
      <protection locked="0"/>
    </xf>
    <xf numFmtId="167" fontId="0" fillId="0" borderId="29" xfId="0" applyNumberFormat="1" applyBorder="1" applyAlignment="1" applyProtection="1">
      <alignment/>
      <protection/>
    </xf>
    <xf numFmtId="0" fontId="7" fillId="0" borderId="29" xfId="0" applyFont="1" applyFill="1" applyBorder="1" applyAlignment="1" applyProtection="1">
      <alignment horizontal="right"/>
      <protection locked="0"/>
    </xf>
    <xf numFmtId="0" fontId="0" fillId="0" borderId="29" xfId="0" applyFill="1" applyBorder="1" applyAlignment="1" applyProtection="1">
      <alignment/>
      <protection locked="0"/>
    </xf>
    <xf numFmtId="0" fontId="0" fillId="0" borderId="29" xfId="0" applyBorder="1" applyAlignment="1" applyProtection="1">
      <alignment/>
      <protection locked="0"/>
    </xf>
    <xf numFmtId="1" fontId="0" fillId="0" borderId="0" xfId="0" applyNumberFormat="1" applyBorder="1" applyAlignment="1" applyProtection="1">
      <alignment/>
      <protection/>
    </xf>
    <xf numFmtId="0" fontId="0" fillId="33" borderId="0" xfId="0" applyFill="1" applyAlignment="1" applyProtection="1">
      <alignment horizontal="left"/>
      <protection locked="0"/>
    </xf>
    <xf numFmtId="0" fontId="0" fillId="0" borderId="10" xfId="0" applyBorder="1" applyAlignment="1" applyProtection="1">
      <alignment/>
      <protection locked="0"/>
    </xf>
    <xf numFmtId="0" fontId="0" fillId="0" borderId="10" xfId="0" applyBorder="1" applyAlignment="1" applyProtection="1">
      <alignment horizontal="center"/>
      <protection locked="0"/>
    </xf>
    <xf numFmtId="0" fontId="0" fillId="0" borderId="10" xfId="0" applyBorder="1" applyAlignment="1" applyProtection="1">
      <alignment horizontal="right"/>
      <protection locked="0"/>
    </xf>
    <xf numFmtId="0" fontId="0" fillId="0" borderId="30" xfId="0" applyBorder="1" applyAlignment="1" applyProtection="1">
      <alignment/>
      <protection locked="0"/>
    </xf>
    <xf numFmtId="0" fontId="0" fillId="34" borderId="29" xfId="0" applyFill="1" applyBorder="1" applyAlignment="1">
      <alignment horizontal="right"/>
    </xf>
    <xf numFmtId="0" fontId="4" fillId="34" borderId="29" xfId="0" applyFont="1" applyFill="1" applyBorder="1" applyAlignment="1" applyProtection="1">
      <alignment horizontal="right"/>
      <protection locked="0"/>
    </xf>
    <xf numFmtId="167" fontId="0" fillId="34" borderId="29" xfId="0" applyNumberFormat="1" applyFill="1" applyBorder="1" applyAlignment="1" applyProtection="1">
      <alignment/>
      <protection/>
    </xf>
    <xf numFmtId="0" fontId="0" fillId="34" borderId="0" xfId="0" applyFill="1" applyBorder="1" applyAlignment="1" applyProtection="1">
      <alignment/>
      <protection locked="0"/>
    </xf>
    <xf numFmtId="167" fontId="0" fillId="0" borderId="0" xfId="0" applyNumberFormat="1" applyAlignment="1" applyProtection="1">
      <alignment/>
      <protection locked="0"/>
    </xf>
    <xf numFmtId="0" fontId="4" fillId="34" borderId="0" xfId="0" applyFont="1" applyFill="1" applyBorder="1" applyAlignment="1" applyProtection="1">
      <alignment horizontal="right"/>
      <protection/>
    </xf>
    <xf numFmtId="1" fontId="0" fillId="34" borderId="0" xfId="0" applyNumberFormat="1" applyFill="1" applyAlignment="1" applyProtection="1">
      <alignment/>
      <protection/>
    </xf>
    <xf numFmtId="0" fontId="0" fillId="34" borderId="0" xfId="0" applyFill="1" applyAlignment="1" applyProtection="1">
      <alignment/>
      <protection/>
    </xf>
    <xf numFmtId="0" fontId="0" fillId="0" borderId="10" xfId="0" applyFont="1" applyBorder="1" applyAlignment="1" applyProtection="1">
      <alignment horizontal="center"/>
      <protection locked="0"/>
    </xf>
    <xf numFmtId="0" fontId="4" fillId="0" borderId="10" xfId="0" applyFont="1" applyBorder="1" applyAlignment="1" applyProtection="1">
      <alignment/>
      <protection locked="0"/>
    </xf>
    <xf numFmtId="0" fontId="0" fillId="0" borderId="10" xfId="0" applyFont="1" applyBorder="1" applyAlignment="1" applyProtection="1">
      <alignment horizontal="center"/>
      <protection locked="0"/>
    </xf>
    <xf numFmtId="0" fontId="0" fillId="0" borderId="30" xfId="0" applyFont="1" applyBorder="1" applyAlignment="1" applyProtection="1">
      <alignment horizontal="center"/>
      <protection locked="0"/>
    </xf>
    <xf numFmtId="0" fontId="0" fillId="0" borderId="10" xfId="0" applyFont="1" applyFill="1" applyBorder="1" applyAlignment="1" applyProtection="1">
      <alignment horizontal="center"/>
      <protection locked="0"/>
    </xf>
    <xf numFmtId="0" fontId="29" fillId="0" borderId="0" xfId="0" applyFont="1" applyAlignment="1" applyProtection="1">
      <alignment horizontal="right"/>
      <protection locked="0"/>
    </xf>
    <xf numFmtId="168" fontId="0" fillId="0" borderId="0" xfId="0" applyNumberFormat="1" applyFill="1" applyAlignment="1" applyProtection="1">
      <alignment/>
      <protection/>
    </xf>
    <xf numFmtId="0" fontId="0" fillId="35" borderId="0" xfId="0" applyFill="1" applyAlignment="1" applyProtection="1">
      <alignment horizontal="center"/>
      <protection/>
    </xf>
    <xf numFmtId="0" fontId="0" fillId="35" borderId="0" xfId="0" applyFill="1" applyAlignment="1" applyProtection="1">
      <alignment/>
      <protection/>
    </xf>
    <xf numFmtId="171" fontId="0" fillId="35" borderId="31" xfId="0" applyNumberFormat="1" applyFill="1" applyBorder="1" applyAlignment="1" applyProtection="1">
      <alignment/>
      <protection/>
    </xf>
    <xf numFmtId="171" fontId="0" fillId="35" borderId="0" xfId="0" applyNumberFormat="1" applyFill="1" applyAlignment="1" applyProtection="1">
      <alignment/>
      <protection/>
    </xf>
    <xf numFmtId="171" fontId="0" fillId="35" borderId="0" xfId="0" applyNumberFormat="1" applyFill="1" applyBorder="1" applyAlignment="1" applyProtection="1">
      <alignment/>
      <protection/>
    </xf>
    <xf numFmtId="0" fontId="0" fillId="34" borderId="0" xfId="0" applyFill="1" applyAlignment="1" applyProtection="1">
      <alignment/>
      <protection locked="0"/>
    </xf>
    <xf numFmtId="0" fontId="6" fillId="34" borderId="0" xfId="0" applyFont="1" applyFill="1" applyAlignment="1" applyProtection="1">
      <alignment horizontal="right"/>
      <protection locked="0"/>
    </xf>
    <xf numFmtId="167" fontId="0" fillId="34" borderId="0" xfId="0" applyNumberFormat="1" applyFill="1" applyAlignment="1" applyProtection="1">
      <alignment/>
      <protection/>
    </xf>
    <xf numFmtId="1" fontId="0" fillId="0" borderId="0" xfId="0" applyNumberFormat="1" applyAlignment="1" applyProtection="1">
      <alignment/>
      <protection/>
    </xf>
    <xf numFmtId="0" fontId="0" fillId="0" borderId="0" xfId="0" applyFont="1" applyAlignment="1" applyProtection="1">
      <alignment/>
      <protection locked="0"/>
    </xf>
    <xf numFmtId="0" fontId="6" fillId="0" borderId="0" xfId="0" applyFont="1" applyAlignment="1" applyProtection="1">
      <alignment/>
      <protection locked="0"/>
    </xf>
    <xf numFmtId="166" fontId="0" fillId="0" borderId="0" xfId="0" applyNumberFormat="1" applyAlignment="1" applyProtection="1">
      <alignment/>
      <protection/>
    </xf>
    <xf numFmtId="49" fontId="0" fillId="0" borderId="0" xfId="0" applyNumberFormat="1" applyAlignment="1" applyProtection="1">
      <alignment/>
      <protection locked="0"/>
    </xf>
    <xf numFmtId="0" fontId="0" fillId="0" borderId="0" xfId="0" applyAlignment="1" applyProtection="1">
      <alignment horizontal="right"/>
      <protection/>
    </xf>
    <xf numFmtId="0" fontId="0" fillId="0" borderId="0" xfId="0" applyBorder="1" applyAlignment="1" applyProtection="1">
      <alignment/>
      <protection/>
    </xf>
    <xf numFmtId="169" fontId="0" fillId="35" borderId="0" xfId="0" applyNumberFormat="1" applyFill="1" applyBorder="1" applyAlignment="1" applyProtection="1">
      <alignment horizontal="center"/>
      <protection/>
    </xf>
    <xf numFmtId="170" fontId="0" fillId="35" borderId="0" xfId="0" applyNumberFormat="1" applyFill="1" applyBorder="1" applyAlignment="1" applyProtection="1">
      <alignment horizontal="left"/>
      <protection/>
    </xf>
    <xf numFmtId="170" fontId="0" fillId="35" borderId="0" xfId="0" applyNumberFormat="1" applyFill="1" applyBorder="1" applyAlignment="1" applyProtection="1">
      <alignment/>
      <protection/>
    </xf>
    <xf numFmtId="170" fontId="0" fillId="35" borderId="0" xfId="0" applyNumberFormat="1" applyFill="1" applyBorder="1" applyAlignment="1" applyProtection="1">
      <alignment/>
      <protection/>
    </xf>
    <xf numFmtId="1" fontId="0" fillId="0" borderId="0" xfId="0" applyNumberFormat="1" applyAlignment="1" applyProtection="1">
      <alignment/>
      <protection locked="0"/>
    </xf>
    <xf numFmtId="2" fontId="0" fillId="0" borderId="0" xfId="0" applyNumberFormat="1" applyAlignment="1" applyProtection="1">
      <alignment/>
      <protection locked="0"/>
    </xf>
    <xf numFmtId="0" fontId="2" fillId="0" borderId="0" xfId="53" applyFont="1" applyAlignment="1" applyProtection="1">
      <alignment vertical="center"/>
      <protection locked="0"/>
    </xf>
    <xf numFmtId="0" fontId="2" fillId="0" borderId="0" xfId="53" applyAlignment="1" applyProtection="1">
      <alignment vertical="center"/>
      <protection locked="0"/>
    </xf>
    <xf numFmtId="0" fontId="0" fillId="0" borderId="0" xfId="0" applyAlignment="1" applyProtection="1">
      <alignment vertical="center"/>
      <protection locked="0"/>
    </xf>
    <xf numFmtId="0" fontId="0" fillId="0" borderId="0" xfId="0" applyFont="1" applyAlignment="1" applyProtection="1">
      <alignment horizontal="left"/>
      <protection locked="0"/>
    </xf>
    <xf numFmtId="0" fontId="0" fillId="0" borderId="0" xfId="0" applyAlignment="1" applyProtection="1">
      <alignment horizontal="right" vertical="center"/>
      <protection locked="0"/>
    </xf>
    <xf numFmtId="0" fontId="0" fillId="37" borderId="0" xfId="0" applyFont="1" applyFill="1" applyAlignment="1" applyProtection="1">
      <alignment/>
      <protection/>
    </xf>
    <xf numFmtId="0" fontId="0" fillId="37" borderId="0" xfId="0" applyFill="1" applyAlignment="1" applyProtection="1">
      <alignment/>
      <protection/>
    </xf>
    <xf numFmtId="166" fontId="0" fillId="0" borderId="0" xfId="0" applyNumberFormat="1" applyAlignment="1" applyProtection="1">
      <alignment/>
      <protection locked="0"/>
    </xf>
    <xf numFmtId="0" fontId="0" fillId="0" borderId="0" xfId="0" applyNumberFormat="1" applyAlignment="1" applyProtection="1">
      <alignment/>
      <protection locked="0"/>
    </xf>
    <xf numFmtId="164" fontId="0" fillId="0" borderId="0" xfId="0" applyNumberFormat="1" applyBorder="1" applyAlignment="1" applyProtection="1">
      <alignment/>
      <protection locked="0"/>
    </xf>
    <xf numFmtId="168" fontId="0" fillId="0" borderId="0" xfId="0" applyNumberFormat="1" applyBorder="1" applyAlignment="1" applyProtection="1">
      <alignment/>
      <protection locked="0"/>
    </xf>
    <xf numFmtId="0" fontId="0" fillId="0" borderId="0" xfId="0" applyBorder="1" applyAlignment="1" applyProtection="1">
      <alignment/>
      <protection locked="0"/>
    </xf>
    <xf numFmtId="0" fontId="0" fillId="0" borderId="31" xfId="0" applyBorder="1" applyAlignment="1" applyProtection="1">
      <alignment/>
      <protection locked="0"/>
    </xf>
    <xf numFmtId="166" fontId="0" fillId="0" borderId="0" xfId="0" applyNumberFormat="1" applyBorder="1" applyAlignment="1" applyProtection="1">
      <alignment/>
      <protection locked="0"/>
    </xf>
    <xf numFmtId="0" fontId="0" fillId="0" borderId="0" xfId="0" applyFont="1" applyBorder="1" applyAlignment="1" applyProtection="1">
      <alignment horizontal="center"/>
      <protection locked="0"/>
    </xf>
    <xf numFmtId="2" fontId="0" fillId="34" borderId="0" xfId="0" applyNumberFormat="1" applyFill="1" applyAlignment="1" applyProtection="1">
      <alignment/>
      <protection/>
    </xf>
    <xf numFmtId="0" fontId="0" fillId="0" borderId="10" xfId="0" applyFont="1" applyBorder="1" applyAlignment="1" applyProtection="1">
      <alignment horizontal="left"/>
      <protection locked="0"/>
    </xf>
    <xf numFmtId="0" fontId="0" fillId="0" borderId="10" xfId="0" applyFont="1" applyBorder="1" applyAlignment="1" applyProtection="1">
      <alignment/>
      <protection locked="0"/>
    </xf>
    <xf numFmtId="0" fontId="0" fillId="0" borderId="11" xfId="0" applyBorder="1" applyAlignment="1" applyProtection="1">
      <alignment horizontal="center"/>
      <protection locked="0"/>
    </xf>
    <xf numFmtId="0" fontId="0" fillId="0" borderId="30" xfId="0" applyBorder="1" applyAlignment="1" applyProtection="1">
      <alignment horizontal="center"/>
      <protection locked="0"/>
    </xf>
    <xf numFmtId="165" fontId="0" fillId="0" borderId="10" xfId="0" applyNumberFormat="1" applyFont="1" applyBorder="1" applyAlignment="1" applyProtection="1">
      <alignment horizontal="center"/>
      <protection locked="0"/>
    </xf>
    <xf numFmtId="0" fontId="0" fillId="0" borderId="0" xfId="0" applyFont="1" applyFill="1" applyBorder="1" applyAlignment="1" applyProtection="1">
      <alignment horizontal="left"/>
      <protection locked="0"/>
    </xf>
    <xf numFmtId="166" fontId="0" fillId="0" borderId="0" xfId="0" applyNumberFormat="1" applyBorder="1" applyAlignment="1" applyProtection="1">
      <alignment horizontal="right"/>
      <protection locked="0"/>
    </xf>
    <xf numFmtId="0" fontId="0" fillId="0" borderId="31" xfId="0" applyFont="1" applyBorder="1" applyAlignment="1" applyProtection="1">
      <alignment horizontal="center"/>
      <protection locked="0"/>
    </xf>
    <xf numFmtId="166" fontId="0" fillId="0" borderId="0" xfId="0" applyNumberFormat="1" applyFont="1" applyAlignment="1" applyProtection="1">
      <alignment/>
      <protection locked="0"/>
    </xf>
    <xf numFmtId="0" fontId="0" fillId="0" borderId="0" xfId="0" applyFont="1" applyBorder="1" applyAlignment="1" applyProtection="1">
      <alignment/>
      <protection locked="0"/>
    </xf>
    <xf numFmtId="0" fontId="6" fillId="0" borderId="0" xfId="0" applyFont="1" applyFill="1" applyAlignment="1" applyProtection="1">
      <alignment/>
      <protection/>
    </xf>
    <xf numFmtId="167" fontId="0" fillId="0" borderId="0" xfId="0" applyNumberFormat="1" applyBorder="1" applyAlignment="1" applyProtection="1">
      <alignment horizontal="right"/>
      <protection locked="0"/>
    </xf>
    <xf numFmtId="165" fontId="0" fillId="0" borderId="0" xfId="0" applyNumberFormat="1" applyFont="1" applyAlignment="1" applyProtection="1">
      <alignment/>
      <protection locked="0"/>
    </xf>
    <xf numFmtId="0" fontId="0" fillId="0" borderId="0" xfId="0" applyFont="1" applyFill="1" applyBorder="1" applyAlignment="1" applyProtection="1">
      <alignment/>
      <protection locked="0"/>
    </xf>
    <xf numFmtId="1" fontId="0" fillId="0" borderId="0" xfId="0" applyNumberFormat="1" applyBorder="1" applyAlignment="1" applyProtection="1">
      <alignment horizontal="right"/>
      <protection locked="0"/>
    </xf>
    <xf numFmtId="165" fontId="0" fillId="0" borderId="0" xfId="0" applyNumberFormat="1" applyFont="1" applyBorder="1" applyAlignment="1" applyProtection="1">
      <alignment/>
      <protection locked="0"/>
    </xf>
    <xf numFmtId="0" fontId="37" fillId="0" borderId="0" xfId="0" applyFont="1" applyAlignment="1" applyProtection="1">
      <alignment horizontal="right"/>
      <protection locked="0"/>
    </xf>
    <xf numFmtId="0" fontId="0" fillId="0" borderId="0" xfId="0" applyNumberFormat="1" applyBorder="1" applyAlignment="1" applyProtection="1">
      <alignment horizontal="right"/>
      <protection locked="0"/>
    </xf>
    <xf numFmtId="2" fontId="0" fillId="0" borderId="0" xfId="0" applyNumberFormat="1" applyFont="1" applyAlignment="1" applyProtection="1">
      <alignment/>
      <protection locked="0"/>
    </xf>
    <xf numFmtId="2" fontId="0" fillId="0" borderId="0" xfId="0" applyNumberFormat="1" applyFont="1" applyBorder="1" applyAlignment="1" applyProtection="1">
      <alignment/>
      <protection locked="0"/>
    </xf>
    <xf numFmtId="2" fontId="0" fillId="0" borderId="0" xfId="0" applyNumberFormat="1" applyBorder="1" applyAlignment="1" applyProtection="1">
      <alignment horizontal="right"/>
      <protection locked="0"/>
    </xf>
    <xf numFmtId="166" fontId="0" fillId="0" borderId="0" xfId="0" applyNumberFormat="1" applyFont="1" applyBorder="1" applyAlignment="1" applyProtection="1">
      <alignment/>
      <protection locked="0"/>
    </xf>
    <xf numFmtId="0" fontId="38" fillId="0" borderId="0" xfId="0" applyFont="1" applyFill="1" applyAlignment="1" applyProtection="1">
      <alignment/>
      <protection/>
    </xf>
    <xf numFmtId="0" fontId="38" fillId="0" borderId="0" xfId="0" applyFont="1" applyFill="1" applyBorder="1" applyAlignment="1" applyProtection="1">
      <alignment/>
      <protection/>
    </xf>
    <xf numFmtId="0" fontId="38" fillId="0" borderId="0" xfId="0" applyFont="1" applyAlignment="1" applyProtection="1">
      <alignment/>
      <protection/>
    </xf>
    <xf numFmtId="0" fontId="0" fillId="0" borderId="0" xfId="0" applyNumberFormat="1" applyAlignment="1">
      <alignment horizontal="left" vertical="top" wrapText="1"/>
    </xf>
    <xf numFmtId="166" fontId="0" fillId="0" borderId="0" xfId="0" applyNumberFormat="1" applyFont="1" applyFill="1" applyBorder="1" applyAlignment="1" applyProtection="1">
      <alignment/>
      <protection locked="0"/>
    </xf>
    <xf numFmtId="167" fontId="0" fillId="0" borderId="0" xfId="0" applyNumberFormat="1" applyFont="1" applyBorder="1" applyAlignment="1" applyProtection="1">
      <alignment/>
      <protection locked="0"/>
    </xf>
    <xf numFmtId="0" fontId="0" fillId="0" borderId="0" xfId="0" applyFill="1" applyAlignment="1" applyProtection="1">
      <alignment/>
      <protection locked="0"/>
    </xf>
    <xf numFmtId="0" fontId="0" fillId="0" borderId="0" xfId="0" applyFont="1" applyFill="1" applyAlignment="1" applyProtection="1">
      <alignment/>
      <protection/>
    </xf>
    <xf numFmtId="0" fontId="0" fillId="0" borderId="0" xfId="0" applyAlignment="1" applyProtection="1" quotePrefix="1">
      <alignment/>
      <protection locked="0"/>
    </xf>
    <xf numFmtId="0" fontId="0" fillId="0" borderId="0" xfId="0" applyNumberFormat="1" applyFont="1" applyAlignment="1" applyProtection="1">
      <alignment/>
      <protection locked="0"/>
    </xf>
    <xf numFmtId="167" fontId="6" fillId="0" borderId="0" xfId="0" applyNumberFormat="1" applyFont="1" applyFill="1" applyAlignment="1" applyProtection="1">
      <alignment/>
      <protection/>
    </xf>
    <xf numFmtId="165" fontId="0" fillId="0" borderId="0" xfId="0" applyNumberFormat="1" applyAlignment="1" applyProtection="1">
      <alignment/>
      <protection locked="0"/>
    </xf>
    <xf numFmtId="2" fontId="0" fillId="0" borderId="0" xfId="0" applyNumberFormat="1" applyFont="1" applyFill="1" applyBorder="1" applyAlignment="1" applyProtection="1">
      <alignment/>
      <protection locked="0"/>
    </xf>
    <xf numFmtId="170" fontId="0" fillId="0" borderId="0" xfId="0" applyNumberFormat="1" applyBorder="1" applyAlignment="1" applyProtection="1">
      <alignment/>
      <protection locked="0"/>
    </xf>
    <xf numFmtId="180" fontId="0" fillId="0" borderId="0" xfId="0" applyNumberFormat="1" applyBorder="1" applyAlignment="1" applyProtection="1">
      <alignment/>
      <protection locked="0"/>
    </xf>
    <xf numFmtId="0" fontId="45" fillId="0" borderId="0" xfId="0" applyFont="1" applyAlignment="1">
      <alignment/>
    </xf>
    <xf numFmtId="0" fontId="6" fillId="0" borderId="0" xfId="0" applyFont="1" applyAlignment="1">
      <alignment/>
    </xf>
    <xf numFmtId="0" fontId="0" fillId="0" borderId="0" xfId="0" applyFont="1" applyAlignment="1">
      <alignment/>
    </xf>
    <xf numFmtId="0" fontId="46" fillId="0" borderId="0" xfId="0" applyFont="1" applyBorder="1" applyAlignment="1">
      <alignment/>
    </xf>
    <xf numFmtId="0" fontId="0" fillId="0" borderId="0" xfId="0" applyFont="1" applyBorder="1" applyAlignment="1">
      <alignment/>
    </xf>
    <xf numFmtId="0" fontId="6" fillId="0" borderId="0" xfId="0" applyFont="1" applyBorder="1" applyAlignment="1">
      <alignment/>
    </xf>
    <xf numFmtId="0" fontId="0" fillId="0" borderId="0" xfId="0" applyAlignment="1">
      <alignment horizontal="left" vertical="top" wrapText="1"/>
    </xf>
    <xf numFmtId="0" fontId="6" fillId="0" borderId="0" xfId="0" applyFont="1" applyAlignment="1">
      <alignment horizontal="left" vertical="top"/>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left"/>
    </xf>
    <xf numFmtId="0" fontId="0" fillId="0" borderId="0" xfId="0" applyFont="1" applyAlignment="1">
      <alignment horizontal="right"/>
    </xf>
    <xf numFmtId="0" fontId="0" fillId="0" borderId="31" xfId="0" applyBorder="1" applyAlignment="1">
      <alignment/>
    </xf>
    <xf numFmtId="0" fontId="0" fillId="0" borderId="0" xfId="0" applyBorder="1" applyAlignment="1" applyProtection="1">
      <alignment horizontal="center"/>
      <protection locked="0"/>
    </xf>
    <xf numFmtId="0" fontId="0" fillId="0" borderId="31" xfId="0" applyBorder="1" applyAlignment="1" applyProtection="1">
      <alignment horizontal="center"/>
      <protection locked="0"/>
    </xf>
    <xf numFmtId="0" fontId="0" fillId="0" borderId="0" xfId="0" applyNumberFormat="1" applyAlignment="1">
      <alignment vertical="top" wrapText="1"/>
    </xf>
    <xf numFmtId="0" fontId="2" fillId="0" borderId="0" xfId="53" applyAlignment="1" applyProtection="1">
      <alignment/>
      <protection/>
    </xf>
    <xf numFmtId="0" fontId="2" fillId="0" borderId="0" xfId="53" applyFont="1" applyAlignment="1" applyProtection="1">
      <alignment/>
      <protection/>
    </xf>
    <xf numFmtId="0" fontId="0" fillId="0" borderId="0" xfId="0" applyFont="1" applyAlignment="1">
      <alignment horizontal="left" indent="2"/>
    </xf>
    <xf numFmtId="0" fontId="0" fillId="0" borderId="10" xfId="0" applyBorder="1" applyAlignment="1">
      <alignment horizontal="left"/>
    </xf>
    <xf numFmtId="0" fontId="0" fillId="0" borderId="0" xfId="0" applyBorder="1" applyAlignment="1">
      <alignment horizontal="center"/>
    </xf>
    <xf numFmtId="0" fontId="10" fillId="0" borderId="0" xfId="0" applyFont="1" applyAlignment="1">
      <alignment horizontal="center"/>
    </xf>
    <xf numFmtId="1" fontId="0" fillId="34" borderId="29" xfId="0" applyNumberFormat="1" applyFill="1" applyBorder="1" applyAlignment="1">
      <alignment horizontal="center"/>
    </xf>
    <xf numFmtId="167" fontId="0" fillId="0" borderId="0" xfId="0" applyNumberFormat="1" applyAlignment="1">
      <alignment horizontal="center"/>
    </xf>
    <xf numFmtId="0" fontId="0" fillId="34" borderId="0" xfId="0" applyFill="1" applyBorder="1" applyAlignment="1">
      <alignment horizontal="center"/>
    </xf>
    <xf numFmtId="0" fontId="50" fillId="0" borderId="0" xfId="0" applyFont="1" applyAlignment="1">
      <alignment/>
    </xf>
    <xf numFmtId="0" fontId="0" fillId="0" borderId="0" xfId="0" applyNumberFormat="1" applyAlignment="1">
      <alignment horizontal="right" vertical="top" wrapText="1"/>
    </xf>
    <xf numFmtId="0" fontId="0" fillId="0" borderId="0" xfId="0" applyNumberFormat="1" applyAlignment="1">
      <alignment horizontal="left" vertical="top"/>
    </xf>
    <xf numFmtId="0" fontId="0" fillId="0" borderId="0" xfId="0" applyNumberFormat="1" applyFont="1" applyAlignment="1" quotePrefix="1">
      <alignment horizontal="right" vertical="top"/>
    </xf>
    <xf numFmtId="0" fontId="0" fillId="0" borderId="10" xfId="0" applyNumberFormat="1" applyFont="1" applyBorder="1" applyAlignment="1" quotePrefix="1">
      <alignment horizontal="right" vertical="top"/>
    </xf>
    <xf numFmtId="0" fontId="7" fillId="0" borderId="0" xfId="0" applyNumberFormat="1" applyFont="1" applyAlignment="1">
      <alignment horizontal="right" vertical="top"/>
    </xf>
    <xf numFmtId="0" fontId="0" fillId="0" borderId="0" xfId="0" applyNumberFormat="1" applyFont="1" applyAlignment="1">
      <alignment horizontal="left" vertical="top"/>
    </xf>
    <xf numFmtId="0" fontId="7" fillId="0" borderId="10" xfId="0" applyFont="1" applyBorder="1" applyAlignment="1">
      <alignment horizontal="center"/>
    </xf>
    <xf numFmtId="0" fontId="7" fillId="0" borderId="30" xfId="0" applyFont="1" applyBorder="1" applyAlignment="1">
      <alignment/>
    </xf>
    <xf numFmtId="0" fontId="7" fillId="0" borderId="10" xfId="0" applyFont="1" applyBorder="1" applyAlignment="1">
      <alignment/>
    </xf>
    <xf numFmtId="166" fontId="0" fillId="0" borderId="0" xfId="0" applyNumberFormat="1" applyBorder="1" applyAlignment="1">
      <alignment/>
    </xf>
    <xf numFmtId="164" fontId="0" fillId="0" borderId="0" xfId="0" applyNumberFormat="1" applyBorder="1" applyAlignment="1">
      <alignment/>
    </xf>
    <xf numFmtId="0" fontId="7" fillId="0" borderId="11" xfId="0" applyFont="1" applyBorder="1" applyAlignment="1">
      <alignment horizontal="center"/>
    </xf>
    <xf numFmtId="0" fontId="7" fillId="0" borderId="0" xfId="0" applyFont="1" applyBorder="1" applyAlignment="1">
      <alignment/>
    </xf>
    <xf numFmtId="2" fontId="7" fillId="0" borderId="0" xfId="0" applyNumberFormat="1" applyFont="1" applyAlignment="1">
      <alignment horizontal="right"/>
    </xf>
    <xf numFmtId="2" fontId="7" fillId="0" borderId="32" xfId="0" applyNumberFormat="1" applyFont="1" applyBorder="1" applyAlignment="1">
      <alignment horizontal="right"/>
    </xf>
    <xf numFmtId="0" fontId="0" fillId="0" borderId="33" xfId="0" applyBorder="1" applyAlignment="1">
      <alignment/>
    </xf>
    <xf numFmtId="0" fontId="0" fillId="0" borderId="0" xfId="0" applyNumberFormat="1" applyAlignment="1">
      <alignment/>
    </xf>
    <xf numFmtId="0" fontId="0" fillId="0" borderId="31" xfId="0" applyNumberFormat="1" applyBorder="1" applyAlignment="1">
      <alignment/>
    </xf>
    <xf numFmtId="0" fontId="0" fillId="0" borderId="0" xfId="0" applyNumberFormat="1" applyBorder="1" applyAlignment="1">
      <alignment/>
    </xf>
    <xf numFmtId="0" fontId="0" fillId="0" borderId="32" xfId="0" applyNumberFormat="1" applyBorder="1" applyAlignment="1">
      <alignment/>
    </xf>
    <xf numFmtId="0" fontId="0" fillId="0" borderId="0" xfId="0" applyNumberFormat="1" applyFill="1" applyBorder="1" applyAlignment="1">
      <alignment/>
    </xf>
    <xf numFmtId="0" fontId="0" fillId="0" borderId="32" xfId="0" applyNumberFormat="1" applyFill="1" applyBorder="1" applyAlignment="1">
      <alignment/>
    </xf>
    <xf numFmtId="0" fontId="0" fillId="0" borderId="32" xfId="0" applyBorder="1" applyAlignment="1">
      <alignment/>
    </xf>
    <xf numFmtId="1" fontId="0" fillId="0" borderId="0" xfId="0" applyNumberFormat="1" applyAlignment="1">
      <alignment/>
    </xf>
    <xf numFmtId="166" fontId="0" fillId="0" borderId="0" xfId="0" applyNumberFormat="1" applyAlignment="1">
      <alignment/>
    </xf>
    <xf numFmtId="2" fontId="0" fillId="0" borderId="32" xfId="0" applyNumberFormat="1" applyBorder="1" applyAlignment="1">
      <alignment/>
    </xf>
    <xf numFmtId="164" fontId="0" fillId="0" borderId="31" xfId="0" applyNumberFormat="1" applyBorder="1" applyAlignment="1">
      <alignment/>
    </xf>
    <xf numFmtId="2" fontId="0" fillId="0" borderId="0" xfId="0" applyNumberFormat="1" applyBorder="1" applyAlignment="1">
      <alignment/>
    </xf>
    <xf numFmtId="165" fontId="0" fillId="0" borderId="0" xfId="0" applyNumberFormat="1" applyBorder="1" applyAlignment="1">
      <alignment/>
    </xf>
    <xf numFmtId="166" fontId="0" fillId="0" borderId="0" xfId="0" applyNumberFormat="1" applyFill="1" applyBorder="1" applyAlignment="1">
      <alignment/>
    </xf>
    <xf numFmtId="164" fontId="0" fillId="0" borderId="31" xfId="0" applyNumberFormat="1" applyFill="1" applyBorder="1" applyAlignment="1">
      <alignment/>
    </xf>
    <xf numFmtId="0" fontId="0" fillId="0" borderId="31" xfId="0" applyNumberFormat="1" applyFill="1" applyBorder="1" applyAlignment="1">
      <alignment/>
    </xf>
    <xf numFmtId="179" fontId="0" fillId="0" borderId="0" xfId="59" applyNumberFormat="1" applyAlignment="1">
      <alignment/>
    </xf>
    <xf numFmtId="165" fontId="0" fillId="0" borderId="31" xfId="0" applyNumberFormat="1" applyFill="1" applyBorder="1" applyAlignment="1">
      <alignment/>
    </xf>
    <xf numFmtId="166" fontId="0" fillId="0" borderId="31" xfId="0" applyNumberFormat="1" applyFill="1" applyBorder="1" applyAlignment="1">
      <alignment/>
    </xf>
    <xf numFmtId="179" fontId="0" fillId="34" borderId="0" xfId="59" applyNumberFormat="1" applyFill="1" applyAlignment="1">
      <alignment/>
    </xf>
    <xf numFmtId="0" fontId="0" fillId="34" borderId="0" xfId="0" applyNumberFormat="1" applyFill="1" applyAlignment="1">
      <alignment/>
    </xf>
    <xf numFmtId="179" fontId="0" fillId="0" borderId="0" xfId="59" applyNumberFormat="1" applyFont="1" applyFill="1" applyAlignment="1">
      <alignment/>
    </xf>
    <xf numFmtId="0" fontId="4" fillId="34" borderId="10" xfId="0" applyFont="1" applyFill="1" applyBorder="1" applyAlignment="1">
      <alignment horizontal="center"/>
    </xf>
    <xf numFmtId="0" fontId="0" fillId="0" borderId="30" xfId="0" applyBorder="1" applyAlignment="1">
      <alignment horizontal="center"/>
    </xf>
    <xf numFmtId="0" fontId="0" fillId="0" borderId="0" xfId="0" applyFill="1" applyBorder="1" applyAlignment="1">
      <alignment horizontal="center"/>
    </xf>
    <xf numFmtId="1" fontId="0" fillId="0" borderId="0" xfId="0" applyNumberFormat="1" applyAlignment="1">
      <alignment horizontal="right"/>
    </xf>
    <xf numFmtId="1" fontId="0" fillId="37" borderId="0" xfId="0" applyNumberFormat="1" applyFill="1" applyAlignment="1">
      <alignment/>
    </xf>
    <xf numFmtId="0" fontId="0" fillId="0" borderId="0" xfId="0" applyAlignment="1" quotePrefix="1">
      <alignment vertical="top"/>
    </xf>
    <xf numFmtId="0" fontId="4" fillId="0" borderId="10" xfId="0" applyFont="1" applyBorder="1" applyAlignment="1">
      <alignment/>
    </xf>
    <xf numFmtId="167" fontId="0" fillId="34" borderId="0" xfId="0" applyNumberFormat="1" applyFill="1" applyAlignment="1">
      <alignment/>
    </xf>
    <xf numFmtId="0" fontId="0" fillId="0" borderId="0" xfId="0" applyFont="1" applyFill="1" applyBorder="1" applyAlignment="1">
      <alignment/>
    </xf>
    <xf numFmtId="0" fontId="0" fillId="0" borderId="10" xfId="0" applyFont="1" applyBorder="1" applyAlignment="1">
      <alignment horizontal="center"/>
    </xf>
    <xf numFmtId="0" fontId="0" fillId="34" borderId="0" xfId="0" applyFill="1" applyBorder="1" applyAlignment="1">
      <alignment/>
    </xf>
    <xf numFmtId="0" fontId="0" fillId="0" borderId="0" xfId="0" applyAlignment="1">
      <alignment horizontal="left"/>
    </xf>
    <xf numFmtId="164" fontId="0" fillId="37" borderId="0" xfId="0" applyNumberFormat="1" applyFill="1" applyAlignment="1">
      <alignment/>
    </xf>
    <xf numFmtId="165" fontId="0" fillId="37" borderId="0" xfId="0" applyNumberFormat="1" applyFill="1" applyAlignment="1">
      <alignment/>
    </xf>
    <xf numFmtId="167" fontId="0" fillId="37" borderId="0" xfId="0" applyNumberFormat="1" applyFill="1" applyAlignment="1">
      <alignment/>
    </xf>
    <xf numFmtId="0" fontId="0" fillId="0" borderId="0" xfId="0" applyAlignment="1" applyProtection="1">
      <alignment vertical="top" wrapText="1"/>
      <protection locked="0"/>
    </xf>
    <xf numFmtId="0" fontId="4" fillId="0" borderId="0" xfId="0" applyFont="1" applyAlignment="1" applyProtection="1">
      <alignment horizontal="center"/>
      <protection/>
    </xf>
    <xf numFmtId="0" fontId="0" fillId="0" borderId="0" xfId="0" applyAlignment="1" applyProtection="1">
      <alignment vertical="top"/>
      <protection locked="0"/>
    </xf>
    <xf numFmtId="0" fontId="0" fillId="0" borderId="0" xfId="0" applyFont="1" applyFill="1" applyAlignment="1" applyProtection="1">
      <alignment vertical="top"/>
      <protection locked="0"/>
    </xf>
    <xf numFmtId="0" fontId="0" fillId="0" borderId="0" xfId="0" applyFill="1" applyAlignment="1" applyProtection="1">
      <alignment vertical="top" wrapText="1"/>
      <protection locked="0"/>
    </xf>
    <xf numFmtId="0" fontId="0" fillId="0" borderId="0" xfId="0" applyFont="1" applyFill="1" applyAlignment="1" applyProtection="1">
      <alignment vertical="top" wrapText="1"/>
      <protection locked="0"/>
    </xf>
    <xf numFmtId="1" fontId="0" fillId="0" borderId="0" xfId="0" applyNumberFormat="1" applyBorder="1" applyAlignment="1" applyProtection="1">
      <alignment/>
      <protection locked="0"/>
    </xf>
    <xf numFmtId="1" fontId="0" fillId="0" borderId="0" xfId="0" applyNumberFormat="1" applyAlignment="1" applyProtection="1">
      <alignment/>
      <protection locked="0"/>
    </xf>
    <xf numFmtId="172" fontId="17" fillId="0" borderId="0" xfId="0" applyNumberFormat="1" applyFont="1" applyAlignment="1" applyProtection="1">
      <alignment horizontal="center"/>
      <protection locked="0"/>
    </xf>
    <xf numFmtId="0" fontId="17" fillId="0" borderId="10" xfId="0" applyFont="1" applyBorder="1" applyAlignment="1" applyProtection="1">
      <alignment/>
      <protection/>
    </xf>
    <xf numFmtId="0" fontId="0" fillId="0" borderId="10" xfId="0" applyBorder="1" applyAlignment="1" applyProtection="1">
      <alignment horizontal="center"/>
      <protection/>
    </xf>
    <xf numFmtId="0" fontId="17" fillId="0" borderId="10" xfId="0" applyFont="1" applyBorder="1" applyAlignment="1" applyProtection="1">
      <alignment horizontal="center" wrapText="1"/>
      <protection/>
    </xf>
    <xf numFmtId="0" fontId="17" fillId="0" borderId="10" xfId="0" applyFont="1" applyFill="1" applyBorder="1" applyAlignment="1" applyProtection="1">
      <alignment horizontal="center"/>
      <protection/>
    </xf>
    <xf numFmtId="0" fontId="0" fillId="0" borderId="10" xfId="0" applyBorder="1" applyAlignment="1" applyProtection="1">
      <alignment/>
      <protection/>
    </xf>
    <xf numFmtId="0" fontId="0" fillId="0" borderId="10" xfId="0" applyFill="1" applyBorder="1" applyAlignment="1" applyProtection="1">
      <alignment/>
      <protection/>
    </xf>
    <xf numFmtId="0" fontId="17" fillId="0" borderId="0" xfId="0" applyFont="1" applyAlignment="1" applyProtection="1">
      <alignment/>
      <protection/>
    </xf>
    <xf numFmtId="173" fontId="0" fillId="0" borderId="0" xfId="0" applyNumberFormat="1" applyAlignment="1" applyProtection="1">
      <alignment horizontal="center"/>
      <protection/>
    </xf>
    <xf numFmtId="0" fontId="17" fillId="0" borderId="0" xfId="0" applyFont="1" applyAlignment="1" applyProtection="1">
      <alignment horizontal="center"/>
      <protection/>
    </xf>
    <xf numFmtId="0" fontId="0" fillId="0" borderId="0" xfId="0" applyAlignment="1" applyProtection="1">
      <alignment horizontal="center"/>
      <protection/>
    </xf>
    <xf numFmtId="0" fontId="21" fillId="0" borderId="0" xfId="0" applyFont="1" applyAlignment="1" applyProtection="1">
      <alignment/>
      <protection/>
    </xf>
    <xf numFmtId="0" fontId="0" fillId="0" borderId="0" xfId="0" applyNumberFormat="1" applyFont="1" applyAlignment="1" applyProtection="1">
      <alignment horizontal="center"/>
      <protection/>
    </xf>
    <xf numFmtId="0" fontId="0" fillId="0" borderId="0" xfId="0" applyFont="1" applyAlignment="1" applyProtection="1">
      <alignment vertical="top" wrapText="1"/>
      <protection/>
    </xf>
    <xf numFmtId="0" fontId="0" fillId="0" borderId="0" xfId="0" applyNumberFormat="1" applyFont="1" applyAlignment="1" applyProtection="1">
      <alignment vertical="top" wrapText="1"/>
      <protection/>
    </xf>
    <xf numFmtId="0" fontId="0" fillId="0" borderId="0" xfId="0" applyFont="1" applyAlignment="1" applyProtection="1">
      <alignment/>
      <protection/>
    </xf>
    <xf numFmtId="0" fontId="0" fillId="0" borderId="0" xfId="0" applyFont="1" applyAlignment="1" applyProtection="1">
      <alignment/>
      <protection/>
    </xf>
    <xf numFmtId="0" fontId="6" fillId="34" borderId="0" xfId="0" applyFont="1" applyFill="1" applyAlignment="1" applyProtection="1">
      <alignment horizontal="right"/>
      <protection/>
    </xf>
    <xf numFmtId="0" fontId="0" fillId="34" borderId="0" xfId="0" applyFill="1" applyAlignment="1" applyProtection="1">
      <alignment horizontal="right"/>
      <protection/>
    </xf>
    <xf numFmtId="173" fontId="0" fillId="34" borderId="0" xfId="0" applyNumberFormat="1" applyFill="1" applyAlignment="1" applyProtection="1">
      <alignment/>
      <protection/>
    </xf>
    <xf numFmtId="0" fontId="0" fillId="0" borderId="10" xfId="0" applyFill="1" applyBorder="1" applyAlignment="1" applyProtection="1">
      <alignment horizontal="center" wrapText="1"/>
      <protection/>
    </xf>
    <xf numFmtId="1" fontId="0" fillId="0" borderId="29" xfId="0" applyNumberFormat="1" applyBorder="1" applyAlignment="1" applyProtection="1">
      <alignment horizontal="center"/>
      <protection/>
    </xf>
    <xf numFmtId="1" fontId="0" fillId="0" borderId="0" xfId="0" applyNumberFormat="1" applyAlignment="1" applyProtection="1">
      <alignment horizontal="center"/>
      <protection/>
    </xf>
    <xf numFmtId="0" fontId="0" fillId="0" borderId="29" xfId="0" applyBorder="1" applyAlignment="1" applyProtection="1">
      <alignment horizontal="center"/>
      <protection/>
    </xf>
    <xf numFmtId="0" fontId="0" fillId="0" borderId="0" xfId="0" applyAlignment="1" applyProtection="1">
      <alignment horizontal="right" vertical="center"/>
      <protection locked="0"/>
    </xf>
    <xf numFmtId="0" fontId="0" fillId="0" borderId="0" xfId="0" applyFill="1" applyAlignment="1" applyProtection="1">
      <alignment horizontal="right" vertical="center"/>
      <protection locked="0"/>
    </xf>
    <xf numFmtId="0" fontId="0" fillId="0" borderId="0" xfId="0" applyAlignment="1" applyProtection="1">
      <alignment horizontal="right" vertical="center" wrapText="1"/>
      <protection locked="0"/>
    </xf>
    <xf numFmtId="0" fontId="2" fillId="0" borderId="0" xfId="53" applyNumberFormat="1" applyFont="1" applyAlignment="1" applyProtection="1">
      <alignment horizontal="center" vertical="center"/>
      <protection locked="0"/>
    </xf>
    <xf numFmtId="0" fontId="2" fillId="0" borderId="0" xfId="53" applyNumberFormat="1" applyAlignment="1" applyProtection="1">
      <alignment horizontal="center" vertical="center"/>
      <protection locked="0"/>
    </xf>
    <xf numFmtId="0" fontId="0" fillId="0" borderId="0" xfId="0" applyAlignment="1" applyProtection="1">
      <alignment vertical="top" wrapText="1"/>
      <protection locked="0"/>
    </xf>
    <xf numFmtId="0" fontId="0" fillId="34" borderId="0" xfId="0" applyFill="1" applyAlignment="1" applyProtection="1">
      <alignment horizontal="center"/>
      <protection/>
    </xf>
    <xf numFmtId="0" fontId="35" fillId="0" borderId="0" xfId="0" applyFont="1" applyAlignment="1" applyProtection="1">
      <alignment horizontal="center"/>
      <protection locked="0"/>
    </xf>
    <xf numFmtId="0" fontId="0" fillId="0" borderId="0" xfId="0" applyFont="1" applyFill="1" applyBorder="1" applyAlignment="1">
      <alignment horizontal="center"/>
    </xf>
    <xf numFmtId="0" fontId="0" fillId="0" borderId="0" xfId="0" applyBorder="1" applyAlignment="1">
      <alignment horizontal="left" vertical="top" wrapText="1"/>
    </xf>
    <xf numFmtId="0" fontId="0" fillId="0" borderId="10" xfId="0" applyBorder="1" applyAlignment="1">
      <alignment horizontal="center"/>
    </xf>
    <xf numFmtId="0" fontId="0" fillId="0" borderId="0" xfId="0" applyFont="1" applyBorder="1" applyAlignment="1">
      <alignment horizontal="left" vertical="top" wrapText="1"/>
    </xf>
    <xf numFmtId="0" fontId="0" fillId="0" borderId="0" xfId="0" applyAlignment="1">
      <alignment horizontal="center"/>
    </xf>
    <xf numFmtId="0" fontId="0" fillId="0" borderId="10" xfId="0" applyBorder="1" applyAlignment="1" applyProtection="1">
      <alignment horizontal="center"/>
      <protection/>
    </xf>
    <xf numFmtId="0" fontId="16" fillId="0" borderId="0" xfId="53" applyFont="1" applyAlignment="1" applyProtection="1">
      <alignment horizontal="center" vertical="top"/>
      <protection/>
    </xf>
    <xf numFmtId="0" fontId="0" fillId="33" borderId="0" xfId="0" applyFill="1" applyAlignment="1" applyProtection="1">
      <alignment/>
      <protection/>
    </xf>
    <xf numFmtId="0" fontId="0" fillId="0" borderId="0" xfId="0" applyAlignment="1" applyProtection="1">
      <alignment/>
      <protection/>
    </xf>
    <xf numFmtId="0" fontId="0" fillId="0" borderId="0" xfId="0" applyFont="1" applyBorder="1" applyAlignment="1">
      <alignment vertical="top" wrapText="1"/>
    </xf>
    <xf numFmtId="0" fontId="0" fillId="0" borderId="0" xfId="0" applyAlignment="1">
      <alignment horizontal="left" vertical="top" wrapText="1"/>
    </xf>
    <xf numFmtId="0" fontId="0" fillId="0" borderId="0" xfId="0" applyAlignment="1">
      <alignment wrapText="1"/>
    </xf>
    <xf numFmtId="0" fontId="0" fillId="0" borderId="0" xfId="0" applyAlignment="1">
      <alignment vertical="top" wrapText="1"/>
    </xf>
    <xf numFmtId="0" fontId="2" fillId="0" borderId="0" xfId="53" applyAlignment="1" applyProtection="1">
      <alignment horizontal="center"/>
      <protection/>
    </xf>
    <xf numFmtId="0" fontId="0" fillId="0" borderId="0" xfId="0" applyFont="1" applyAlignment="1">
      <alignment horizontal="left" vertical="top" wrapText="1"/>
    </xf>
    <xf numFmtId="0" fontId="4" fillId="0" borderId="10" xfId="0" applyFont="1" applyBorder="1" applyAlignment="1">
      <alignment horizontal="center"/>
    </xf>
    <xf numFmtId="0" fontId="6" fillId="0" borderId="0" xfId="0" applyFont="1" applyAlignment="1">
      <alignment wrapText="1"/>
    </xf>
    <xf numFmtId="11" fontId="0" fillId="0" borderId="0" xfId="0" applyNumberFormat="1" applyBorder="1" applyAlignment="1">
      <alignment horizontal="center"/>
    </xf>
    <xf numFmtId="0" fontId="0" fillId="0" borderId="11" xfId="0" applyBorder="1" applyAlignment="1">
      <alignment horizontal="center"/>
    </xf>
    <xf numFmtId="0" fontId="4" fillId="0" borderId="30" xfId="0" applyFont="1" applyBorder="1" applyAlignment="1">
      <alignment horizontal="center"/>
    </xf>
    <xf numFmtId="0" fontId="4" fillId="0" borderId="11" xfId="0" applyFont="1" applyBorder="1" applyAlignment="1">
      <alignment horizontal="center"/>
    </xf>
    <xf numFmtId="0" fontId="5" fillId="0" borderId="0" xfId="0" applyFont="1" applyAlignment="1">
      <alignment horizontal="right" vertical="center" textRotation="90" wrapText="1"/>
    </xf>
    <xf numFmtId="0" fontId="0" fillId="0" borderId="0" xfId="0" applyAlignment="1">
      <alignment horizontal="right" vertical="center" wrapText="1"/>
    </xf>
    <xf numFmtId="0" fontId="0" fillId="0" borderId="0" xfId="0" applyNumberFormat="1" applyAlignment="1">
      <alignment horizontal="left" vertical="top" wrapText="1"/>
    </xf>
    <xf numFmtId="0" fontId="0" fillId="0" borderId="0" xfId="0" applyNumberFormat="1" applyAlignment="1">
      <alignment vertical="top" wrapText="1"/>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1">
    <dxf>
      <font>
        <color indexed="10"/>
      </font>
    </dxf>
    <dxf>
      <font>
        <color indexed="10"/>
      </font>
    </dxf>
    <dxf>
      <font>
        <color indexed="10"/>
      </font>
    </dxf>
    <dxf>
      <fill>
        <patternFill>
          <bgColor indexed="43"/>
        </patternFill>
      </fill>
    </dxf>
    <dxf>
      <fill>
        <patternFill patternType="solid">
          <bgColor indexed="10"/>
        </patternFill>
      </fill>
    </dxf>
    <dxf>
      <fill>
        <patternFill>
          <bgColor indexed="10"/>
        </patternFill>
      </fill>
    </dxf>
    <dxf>
      <font>
        <color auto="1"/>
      </font>
      <fill>
        <patternFill>
          <bgColor indexed="43"/>
        </patternFill>
      </fill>
    </dxf>
    <dxf>
      <font>
        <color auto="1"/>
      </font>
      <fill>
        <patternFill>
          <bgColor indexed="43"/>
        </patternFill>
      </fill>
    </dxf>
    <dxf>
      <fill>
        <patternFill>
          <bgColor indexed="43"/>
        </patternFill>
      </fill>
    </dxf>
    <dxf>
      <fill>
        <patternFill patternType="solid">
          <bgColor indexed="10"/>
        </patternFill>
      </fill>
    </dxf>
    <dxf>
      <fill>
        <patternFill>
          <bgColor indexed="43"/>
        </patternFill>
      </fill>
    </dxf>
    <dxf>
      <fill>
        <patternFill patternType="solid">
          <bgColor indexed="10"/>
        </patternFill>
      </fill>
    </dxf>
    <dxf>
      <fill>
        <patternFill>
          <bgColor indexed="43"/>
        </patternFill>
      </fill>
    </dxf>
    <dxf>
      <fill>
        <patternFill patternType="solid">
          <bgColor indexed="10"/>
        </patternFill>
      </fill>
    </dxf>
    <dxf>
      <fill>
        <patternFill>
          <bgColor indexed="43"/>
        </patternFill>
      </fill>
    </dxf>
    <dxf>
      <fill>
        <patternFill patternType="solid">
          <bgColor indexed="10"/>
        </patternFill>
      </fill>
    </dxf>
    <dxf>
      <fill>
        <patternFill>
          <bgColor indexed="43"/>
        </patternFill>
      </fill>
    </dxf>
    <dxf>
      <fill>
        <patternFill patternType="solid">
          <bgColor indexed="10"/>
        </patternFill>
      </fill>
    </dxf>
    <dxf>
      <fill>
        <patternFill>
          <bgColor indexed="43"/>
        </patternFill>
      </fill>
    </dxf>
    <dxf>
      <fill>
        <patternFill patternType="solid">
          <bgColor indexed="10"/>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Born-Haber Cycle</a:t>
            </a:r>
          </a:p>
        </c:rich>
      </c:tx>
      <c:layout/>
      <c:spPr>
        <a:noFill/>
        <a:ln>
          <a:noFill/>
        </a:ln>
      </c:spPr>
    </c:title>
    <c:plotArea>
      <c:layout>
        <c:manualLayout>
          <c:xMode val="edge"/>
          <c:yMode val="edge"/>
          <c:x val="0.03775"/>
          <c:y val="0.0115"/>
          <c:w val="0.96225"/>
          <c:h val="0.9885"/>
        </c:manualLayout>
      </c:layout>
      <c:scatterChart>
        <c:scatterStyle val="lineMarker"/>
        <c:varyColors val="0"/>
        <c:ser>
          <c:idx val="0"/>
          <c:order val="0"/>
          <c:tx>
            <c:strRef>
              <c:f>'Lattice Energy'!$AP$33</c:f>
              <c:strCache>
                <c:ptCount val="1"/>
                <c:pt idx="0">
                  <c:v>start line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'Lattice Energy'!$AQ$33:$AQ$34</c:f>
              <c:numCache/>
            </c:numRef>
          </c:xVal>
          <c:yVal>
            <c:numRef>
              <c:f>'Lattice Energy'!$AR$33:$AR$34</c:f>
              <c:numCache/>
            </c:numRef>
          </c:yVal>
          <c:smooth val="0"/>
        </c:ser>
        <c:ser>
          <c:idx val="14"/>
          <c:order val="1"/>
          <c:tx>
            <c:strRef>
              <c:f>'Lattice Energy'!$AP$35</c:f>
              <c:strCache>
                <c:ptCount val="1"/>
                <c:pt idx="0">
                  <c:v>cap M(s) + 1/nXn(s)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tx>
                <c:rich>
                  <a:bodyPr vert="horz" rot="0" anchor="ctr"/>
                  <a:lstStyle/>
                  <a:p>
                    <a:pPr algn="r">
                      <a:defRPr/>
                    </a:pPr>
                    <a:r>
                      <a:rPr lang="en-US" cap="none" sz="900" b="0" i="0" u="none" baseline="0">
                        <a:solidFill>
                          <a:srgbClr val="000000"/>
                        </a:solidFill>
                        <a:latin typeface="Arial"/>
                        <a:ea typeface="Arial"/>
                        <a:cs typeface="Arial"/>
                      </a:rPr>
                      <a:t>Ca(s)</a:t>
                    </a:r>
                  </a:p>
                </c:rich>
              </c:tx>
              <c:numFmt formatCode="General" sourceLinked="1"/>
              <c:dLblPos val="l"/>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000000"/>
                        </a:solidFill>
                        <a:latin typeface="Arial"/>
                        <a:ea typeface="Arial"/>
                        <a:cs typeface="Arial"/>
                      </a:rPr>
                      <a:t>+ Cl</a:t>
                    </a:r>
                    <a:r>
                      <a:rPr lang="en-US" cap="none" sz="900" b="0" i="0" u="none" baseline="-25000">
                        <a:solidFill>
                          <a:srgbClr val="000000"/>
                        </a:solidFill>
                        <a:latin typeface="Arial"/>
                        <a:ea typeface="Arial"/>
                        <a:cs typeface="Arial"/>
                      </a:rPr>
                      <a:t>2</a:t>
                    </a:r>
                    <a:r>
                      <a:rPr lang="en-US" cap="none" sz="900" b="0" i="0" u="none" baseline="0">
                        <a:solidFill>
                          <a:srgbClr val="000000"/>
                        </a:solidFill>
                        <a:latin typeface="Arial"/>
                        <a:ea typeface="Arial"/>
                        <a:cs typeface="Arial"/>
                      </a:rPr>
                      <a:t>(g)</a:t>
                    </a:r>
                  </a:p>
                </c:rich>
              </c:tx>
              <c:numFmt formatCode="General" sourceLinked="1"/>
              <c:dLblPos val="ctr"/>
              <c:showLegendKey val="0"/>
              <c:showVal val="0"/>
              <c:showBubbleSize val="0"/>
              <c:showCatName val="1"/>
              <c:showSerName val="0"/>
              <c:showPercent val="0"/>
            </c:dLbl>
            <c:numFmt formatCode="General" sourceLinked="1"/>
            <c:showLegendKey val="0"/>
            <c:showVal val="0"/>
            <c:showBubbleSize val="0"/>
            <c:showCatName val="0"/>
            <c:showSerName val="0"/>
            <c:showPercent val="0"/>
          </c:dLbls>
          <c:xVal>
            <c:numRef>
              <c:f>'Lattice Energy'!$AQ$35:$AQ$37</c:f>
              <c:numCache/>
            </c:numRef>
          </c:xVal>
          <c:yVal>
            <c:numRef>
              <c:f>'Lattice Energy'!$AR$35:$AR$37</c:f>
              <c:numCache/>
            </c:numRef>
          </c:yVal>
          <c:smooth val="0"/>
        </c:ser>
        <c:ser>
          <c:idx val="1"/>
          <c:order val="2"/>
          <c:tx>
            <c:strRef>
              <c:f>'Lattice Energy'!$AP$38</c:f>
              <c:strCache>
                <c:ptCount val="1"/>
                <c:pt idx="0">
                  <c:v>con M(g) forms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'Lattice Energy'!$AQ$38:$AQ$39</c:f>
              <c:numCache/>
            </c:numRef>
          </c:xVal>
          <c:yVal>
            <c:numRef>
              <c:f>'Lattice Energy'!$AR$38:$AR$39</c:f>
              <c:numCache/>
            </c:numRef>
          </c:yVal>
          <c:smooth val="0"/>
        </c:ser>
        <c:ser>
          <c:idx val="2"/>
          <c:order val="3"/>
          <c:tx>
            <c:strRef>
              <c:f>'Lattice Energy'!$AP$41</c:f>
              <c:strCache>
                <c:ptCount val="1"/>
                <c:pt idx="0">
                  <c:v>M(g) forms</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'Lattice Energy'!$AQ$41:$AQ$42</c:f>
              <c:numCache/>
            </c:numRef>
          </c:xVal>
          <c:yVal>
            <c:numRef>
              <c:f>'Lattice Energy'!$AR$41:$AR$42</c:f>
              <c:numCache/>
            </c:numRef>
          </c:yVal>
          <c:smooth val="0"/>
        </c:ser>
        <c:ser>
          <c:idx val="15"/>
          <c:order val="4"/>
          <c:tx>
            <c:strRef>
              <c:f>'Lattice Energy'!$AP$43</c:f>
              <c:strCache>
                <c:ptCount val="1"/>
                <c:pt idx="0">
                  <c:v>cap M(g) + 1/nXn(s)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tx>
                <c:rich>
                  <a:bodyPr vert="horz" rot="0" anchor="ctr"/>
                  <a:lstStyle/>
                  <a:p>
                    <a:pPr algn="r">
                      <a:defRPr/>
                    </a:pPr>
                    <a:r>
                      <a:rPr lang="en-US" cap="none" sz="900" b="0" i="0" u="none" baseline="0">
                        <a:solidFill>
                          <a:srgbClr val="000000"/>
                        </a:solidFill>
                        <a:latin typeface="Arial"/>
                        <a:ea typeface="Arial"/>
                        <a:cs typeface="Arial"/>
                      </a:rPr>
                      <a:t>Ca(g)</a:t>
                    </a:r>
                  </a:p>
                </c:rich>
              </c:tx>
              <c:numFmt formatCode="General" sourceLinked="1"/>
              <c:dLblPos val="l"/>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000000"/>
                        </a:solidFill>
                        <a:latin typeface="Arial"/>
                        <a:ea typeface="Arial"/>
                        <a:cs typeface="Arial"/>
                      </a:rPr>
                      <a:t>+ Cl</a:t>
                    </a:r>
                    <a:r>
                      <a:rPr lang="en-US" cap="none" sz="900" b="0" i="0" u="none" baseline="-25000">
                        <a:solidFill>
                          <a:srgbClr val="000000"/>
                        </a:solidFill>
                        <a:latin typeface="Arial"/>
                        <a:ea typeface="Arial"/>
                        <a:cs typeface="Arial"/>
                      </a:rPr>
                      <a:t>2</a:t>
                    </a:r>
                    <a:r>
                      <a:rPr lang="en-US" cap="none" sz="900" b="0" i="0" u="none" baseline="0">
                        <a:solidFill>
                          <a:srgbClr val="000000"/>
                        </a:solidFill>
                        <a:latin typeface="Arial"/>
                        <a:ea typeface="Arial"/>
                        <a:cs typeface="Arial"/>
                      </a:rPr>
                      <a:t>(g)</a:t>
                    </a:r>
                  </a:p>
                </c:rich>
              </c:tx>
              <c:numFmt formatCode="General" sourceLinked="1"/>
              <c:dLblPos val="ctr"/>
              <c:showLegendKey val="0"/>
              <c:showVal val="0"/>
              <c:showBubbleSize val="0"/>
              <c:showCatName val="1"/>
              <c:showSerName val="0"/>
              <c:showPercent val="0"/>
            </c:dLbl>
            <c:numFmt formatCode="General" sourceLinked="1"/>
            <c:showLegendKey val="0"/>
            <c:showVal val="0"/>
            <c:showBubbleSize val="0"/>
            <c:showCatName val="0"/>
            <c:showSerName val="0"/>
            <c:showPercent val="0"/>
          </c:dLbls>
          <c:xVal>
            <c:numRef>
              <c:f>'Lattice Energy'!$AQ$43:$AQ$45</c:f>
              <c:numCache/>
            </c:numRef>
          </c:xVal>
          <c:yVal>
            <c:numRef>
              <c:f>'Lattice Energy'!$AR$43:$AR$45</c:f>
              <c:numCache/>
            </c:numRef>
          </c:yVal>
          <c:smooth val="0"/>
        </c:ser>
        <c:ser>
          <c:idx val="3"/>
          <c:order val="5"/>
          <c:tx>
            <c:strRef>
              <c:f>'Lattice Energy'!$AP$46</c:f>
              <c:strCache>
                <c:ptCount val="1"/>
                <c:pt idx="0">
                  <c:v>con M ionizes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'Lattice Energy'!$AQ$46:$AQ$47</c:f>
              <c:numCache/>
            </c:numRef>
          </c:xVal>
          <c:yVal>
            <c:numRef>
              <c:f>'Lattice Energy'!$AR$46:$AR$47</c:f>
              <c:numCache/>
            </c:numRef>
          </c:yVal>
          <c:smooth val="0"/>
        </c:ser>
        <c:ser>
          <c:idx val="4"/>
          <c:order val="6"/>
          <c:tx>
            <c:strRef>
              <c:f>'Lattice Energy'!$AP$49</c:f>
              <c:strCache>
                <c:ptCount val="1"/>
                <c:pt idx="0">
                  <c:v>M ionized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'Lattice Energy'!$AQ$49:$AQ$50</c:f>
              <c:numCache/>
            </c:numRef>
          </c:xVal>
          <c:yVal>
            <c:numRef>
              <c:f>'Lattice Energy'!$AR$49:$AR$50</c:f>
              <c:numCache/>
            </c:numRef>
          </c:yVal>
          <c:smooth val="0"/>
        </c:ser>
        <c:ser>
          <c:idx val="16"/>
          <c:order val="7"/>
          <c:tx>
            <c:strRef>
              <c:f>'Lattice Energy'!$AP$51</c:f>
              <c:strCache>
                <c:ptCount val="1"/>
                <c:pt idx="0">
                  <c:v>cap M(g)+ + e–(g) + 1/nXn(s)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noFill/>
              </a:ln>
            </c:spPr>
          </c:marker>
          <c:dLbls>
            <c:dLbl>
              <c:idx val="0"/>
              <c:tx>
                <c:rich>
                  <a:bodyPr vert="horz" rot="0" anchor="ctr"/>
                  <a:lstStyle/>
                  <a:p>
                    <a:pPr algn="r">
                      <a:defRPr/>
                    </a:pPr>
                    <a:r>
                      <a:rPr lang="en-US" cap="none" sz="900" b="0" i="0" u="none" baseline="0">
                        <a:solidFill>
                          <a:srgbClr val="000000"/>
                        </a:solidFill>
                        <a:latin typeface="Arial"/>
                        <a:ea typeface="Arial"/>
                        <a:cs typeface="Arial"/>
                      </a:rPr>
                      <a:t>Ca</a:t>
                    </a:r>
                    <a:r>
                      <a:rPr lang="en-US" cap="none" sz="900" b="0" i="0" u="none" baseline="30000">
                        <a:solidFill>
                          <a:srgbClr val="000000"/>
                        </a:solidFill>
                        <a:latin typeface="Arial"/>
                        <a:ea typeface="Arial"/>
                        <a:cs typeface="Arial"/>
                      </a:rPr>
                      <a:t>2+</a:t>
                    </a:r>
                    <a:r>
                      <a:rPr lang="en-US" cap="none" sz="900" b="0" i="0" u="none" baseline="0">
                        <a:solidFill>
                          <a:srgbClr val="000000"/>
                        </a:solidFill>
                        <a:latin typeface="Arial"/>
                        <a:ea typeface="Arial"/>
                        <a:cs typeface="Arial"/>
                      </a:rPr>
                      <a:t>(g)</a:t>
                    </a:r>
                  </a:p>
                </c:rich>
              </c:tx>
              <c:numFmt formatCode="General" sourceLinked="1"/>
              <c:dLblPos val="l"/>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000000"/>
                        </a:solidFill>
                        <a:latin typeface="Arial"/>
                        <a:ea typeface="Arial"/>
                        <a:cs typeface="Arial"/>
                      </a:rPr>
                      <a:t>+ 2e</a:t>
                    </a:r>
                    <a:r>
                      <a:rPr lang="en-US" cap="none" sz="900" b="0" i="0" u="none" baseline="30000">
                        <a:solidFill>
                          <a:srgbClr val="000000"/>
                        </a:solidFill>
                        <a:latin typeface="Arial"/>
                        <a:ea typeface="Arial"/>
                        <a:cs typeface="Arial"/>
                      </a:rPr>
                      <a:t>–</a:t>
                    </a:r>
                    <a:r>
                      <a:rPr lang="en-US" cap="none" sz="900" b="0" i="0" u="none" baseline="0">
                        <a:solidFill>
                          <a:srgbClr val="000000"/>
                        </a:solidFill>
                        <a:latin typeface="Arial"/>
                        <a:ea typeface="Arial"/>
                        <a:cs typeface="Arial"/>
                      </a:rPr>
                      <a:t>(g)</a:t>
                    </a:r>
                  </a:p>
                </c:rich>
              </c:tx>
              <c:numFmt formatCode="General" sourceLinked="1"/>
              <c:dLblPos val="ctr"/>
              <c:showLegendKey val="0"/>
              <c:showVal val="0"/>
              <c:showBubbleSize val="0"/>
              <c:showCatName val="1"/>
              <c:showSerName val="0"/>
              <c:showPercent val="0"/>
            </c:dLbl>
            <c:dLbl>
              <c:idx val="2"/>
              <c:tx>
                <c:rich>
                  <a:bodyPr vert="horz" rot="0" anchor="ctr"/>
                  <a:lstStyle/>
                  <a:p>
                    <a:pPr algn="l">
                      <a:defRPr/>
                    </a:pPr>
                    <a:r>
                      <a:rPr lang="en-US" cap="none" sz="900" b="0" i="0" u="none" baseline="0">
                        <a:solidFill>
                          <a:srgbClr val="000000"/>
                        </a:solidFill>
                        <a:latin typeface="Arial"/>
                        <a:ea typeface="Arial"/>
                        <a:cs typeface="Arial"/>
                      </a:rPr>
                      <a:t>+ Cl</a:t>
                    </a:r>
                    <a:r>
                      <a:rPr lang="en-US" cap="none" sz="900" b="0" i="0" u="none" baseline="-25000">
                        <a:solidFill>
                          <a:srgbClr val="000000"/>
                        </a:solidFill>
                        <a:latin typeface="Arial"/>
                        <a:ea typeface="Arial"/>
                        <a:cs typeface="Arial"/>
                      </a:rPr>
                      <a:t>2</a:t>
                    </a:r>
                    <a:r>
                      <a:rPr lang="en-US" cap="none" sz="900" b="0" i="0" u="none" baseline="0">
                        <a:solidFill>
                          <a:srgbClr val="000000"/>
                        </a:solidFill>
                        <a:latin typeface="Arial"/>
                        <a:ea typeface="Arial"/>
                        <a:cs typeface="Arial"/>
                      </a:rPr>
                      <a:t>(g)</a:t>
                    </a:r>
                  </a:p>
                </c:rich>
              </c:tx>
              <c:numFmt formatCode="General" sourceLinked="1"/>
              <c:dLblPos val="r"/>
              <c:showLegendKey val="0"/>
              <c:showVal val="0"/>
              <c:showBubbleSize val="0"/>
              <c:showCatName val="1"/>
              <c:showSerName val="0"/>
              <c:showPercent val="0"/>
            </c:dLbl>
            <c:numFmt formatCode="General" sourceLinked="1"/>
            <c:showLegendKey val="0"/>
            <c:showVal val="0"/>
            <c:showBubbleSize val="0"/>
            <c:showCatName val="0"/>
            <c:showSerName val="0"/>
            <c:showPercent val="0"/>
          </c:dLbls>
          <c:xVal>
            <c:numRef>
              <c:f>'Lattice Energy'!$AQ$51:$AQ$53</c:f>
              <c:numCache/>
            </c:numRef>
          </c:xVal>
          <c:yVal>
            <c:numRef>
              <c:f>'Lattice Energy'!$AR$51:$AR$53</c:f>
              <c:numCache/>
            </c:numRef>
          </c:yVal>
          <c:smooth val="1"/>
        </c:ser>
        <c:ser>
          <c:idx val="5"/>
          <c:order val="8"/>
          <c:tx>
            <c:strRef>
              <c:f>'Lattice Energy'!$AP$54</c:f>
              <c:strCache>
                <c:ptCount val="1"/>
                <c:pt idx="0">
                  <c:v>con X(g) forms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12700">
                <a:solidFill>
                  <a:srgbClr val="000080"/>
                </a:solidFill>
              </a:ln>
            </c:spPr>
            <c:marker>
              <c:symbol val="none"/>
            </c:marker>
          </c:dPt>
          <c:xVal>
            <c:numRef>
              <c:f>'Lattice Energy'!$AQ$54:$AQ$55</c:f>
              <c:numCache/>
            </c:numRef>
          </c:xVal>
          <c:yVal>
            <c:numRef>
              <c:f>'Lattice Energy'!$AR$54:$AR$55</c:f>
              <c:numCache/>
            </c:numRef>
          </c:yVal>
          <c:smooth val="0"/>
        </c:ser>
        <c:ser>
          <c:idx val="6"/>
          <c:order val="9"/>
          <c:tx>
            <c:strRef>
              <c:f>'Lattice Energy'!$AP$57</c:f>
              <c:strCache>
                <c:ptCount val="1"/>
                <c:pt idx="0">
                  <c:v>X dissociated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5400">
                <a:solidFill>
                  <a:srgbClr val="000080"/>
                </a:solidFill>
              </a:ln>
            </c:spPr>
            <c:marker>
              <c:symbol val="none"/>
            </c:marker>
          </c:dPt>
          <c:xVal>
            <c:numRef>
              <c:f>'Lattice Energy'!$AQ$57:$AQ$58</c:f>
              <c:numCache/>
            </c:numRef>
          </c:xVal>
          <c:yVal>
            <c:numRef>
              <c:f>'Lattice Energy'!$AR$57:$AR$58</c:f>
              <c:numCache/>
            </c:numRef>
          </c:yVal>
          <c:smooth val="0"/>
        </c:ser>
        <c:ser>
          <c:idx val="18"/>
          <c:order val="10"/>
          <c:tx>
            <c:strRef>
              <c:f>'Lattice Energy'!$AP$59</c:f>
              <c:strCache>
                <c:ptCount val="1"/>
                <c:pt idx="0">
                  <c:v>cap M(g)+ + e–(g) + X(g)</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tx>
                <c:rich>
                  <a:bodyPr vert="horz" rot="0" anchor="ctr"/>
                  <a:lstStyle/>
                  <a:p>
                    <a:pPr algn="r">
                      <a:defRPr/>
                    </a:pPr>
                    <a:r>
                      <a:rPr lang="en-US" cap="none" sz="900" b="0" i="0" u="none" baseline="0">
                        <a:solidFill>
                          <a:srgbClr val="000000"/>
                        </a:solidFill>
                        <a:latin typeface="Arial"/>
                        <a:ea typeface="Arial"/>
                        <a:cs typeface="Arial"/>
                      </a:rPr>
                      <a:t>Ca</a:t>
                    </a:r>
                    <a:r>
                      <a:rPr lang="en-US" cap="none" sz="900" b="0" i="0" u="none" baseline="30000">
                        <a:solidFill>
                          <a:srgbClr val="000000"/>
                        </a:solidFill>
                        <a:latin typeface="Arial"/>
                        <a:ea typeface="Arial"/>
                        <a:cs typeface="Arial"/>
                      </a:rPr>
                      <a:t>2+</a:t>
                    </a:r>
                    <a:r>
                      <a:rPr lang="en-US" cap="none" sz="900" b="0" i="0" u="none" baseline="0">
                        <a:solidFill>
                          <a:srgbClr val="000000"/>
                        </a:solidFill>
                        <a:latin typeface="Arial"/>
                        <a:ea typeface="Arial"/>
                        <a:cs typeface="Arial"/>
                      </a:rPr>
                      <a:t>(g)</a:t>
                    </a:r>
                  </a:p>
                </c:rich>
              </c:tx>
              <c:numFmt formatCode="General" sourceLinked="1"/>
              <c:dLblPos val="l"/>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000000"/>
                        </a:solidFill>
                        <a:latin typeface="Arial"/>
                        <a:ea typeface="Arial"/>
                        <a:cs typeface="Arial"/>
                      </a:rPr>
                      <a:t>+ 2e</a:t>
                    </a:r>
                    <a:r>
                      <a:rPr lang="en-US" cap="none" sz="900" b="0" i="0" u="none" baseline="30000">
                        <a:solidFill>
                          <a:srgbClr val="000000"/>
                        </a:solidFill>
                        <a:latin typeface="Arial"/>
                        <a:ea typeface="Arial"/>
                        <a:cs typeface="Arial"/>
                      </a:rPr>
                      <a:t>–</a:t>
                    </a:r>
                    <a:r>
                      <a:rPr lang="en-US" cap="none" sz="900" b="0" i="0" u="none" baseline="0">
                        <a:solidFill>
                          <a:srgbClr val="000000"/>
                        </a:solidFill>
                        <a:latin typeface="Arial"/>
                        <a:ea typeface="Arial"/>
                        <a:cs typeface="Arial"/>
                      </a:rPr>
                      <a:t>(g)</a:t>
                    </a:r>
                  </a:p>
                </c:rich>
              </c:tx>
              <c:numFmt formatCode="General" sourceLinked="1"/>
              <c:dLblPos val="ctr"/>
              <c:showLegendKey val="0"/>
              <c:showVal val="0"/>
              <c:showBubbleSize val="0"/>
              <c:showCatName val="1"/>
              <c:showSerName val="0"/>
              <c:showPercent val="0"/>
            </c:dLbl>
            <c:dLbl>
              <c:idx val="2"/>
              <c:tx>
                <c:rich>
                  <a:bodyPr vert="horz" rot="0" anchor="ctr"/>
                  <a:lstStyle/>
                  <a:p>
                    <a:pPr algn="l">
                      <a:defRPr/>
                    </a:pPr>
                    <a:r>
                      <a:rPr lang="en-US" cap="none" sz="900" b="0" i="0" u="none" baseline="0">
                        <a:solidFill>
                          <a:srgbClr val="000000"/>
                        </a:solidFill>
                        <a:latin typeface="Arial"/>
                        <a:ea typeface="Arial"/>
                        <a:cs typeface="Arial"/>
                      </a:rPr>
                      <a:t>+ 2Cl(g)</a:t>
                    </a:r>
                  </a:p>
                </c:rich>
              </c:tx>
              <c:numFmt formatCode="General" sourceLinked="1"/>
              <c:dLblPos val="r"/>
              <c:showLegendKey val="0"/>
              <c:showVal val="0"/>
              <c:showBubbleSize val="0"/>
              <c:showCatName val="1"/>
              <c:showSerName val="0"/>
              <c:showPercent val="0"/>
            </c:dLbl>
            <c:numFmt formatCode="General" sourceLinked="1"/>
            <c:showLegendKey val="0"/>
            <c:showVal val="0"/>
            <c:showBubbleSize val="0"/>
            <c:showCatName val="0"/>
            <c:showSerName val="0"/>
            <c:showPercent val="0"/>
          </c:dLbls>
          <c:xVal>
            <c:numRef>
              <c:f>'Lattice Energy'!$AQ$59:$AQ$61</c:f>
              <c:numCache/>
            </c:numRef>
          </c:xVal>
          <c:yVal>
            <c:numRef>
              <c:f>'Lattice Energy'!$AR$59:$AR$61</c:f>
              <c:numCache/>
            </c:numRef>
          </c:yVal>
          <c:smooth val="0"/>
        </c:ser>
        <c:ser>
          <c:idx val="9"/>
          <c:order val="11"/>
          <c:tx>
            <c:strRef>
              <c:f>'Lattice Energy'!$AP$62</c:f>
              <c:strCache>
                <c:ptCount val="1"/>
                <c:pt idx="0">
                  <c:v>con electron gain</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'Lattice Energy'!$AQ$62:$AQ$63</c:f>
              <c:numCache/>
            </c:numRef>
          </c:xVal>
          <c:yVal>
            <c:numRef>
              <c:f>'Lattice Energy'!$AR$62:$AR$63</c:f>
              <c:numCache/>
            </c:numRef>
          </c:yVal>
          <c:smooth val="0"/>
        </c:ser>
        <c:ser>
          <c:idx val="10"/>
          <c:order val="12"/>
          <c:tx>
            <c:strRef>
              <c:f>'Lattice Energy'!$AP$65</c:f>
              <c:strCache>
                <c:ptCount val="1"/>
                <c:pt idx="0">
                  <c:v>electron gained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5400">
                <a:solidFill>
                  <a:srgbClr val="000080"/>
                </a:solidFill>
              </a:ln>
            </c:spPr>
            <c:marker>
              <c:symbol val="none"/>
            </c:marker>
          </c:dPt>
          <c:xVal>
            <c:numRef>
              <c:f>'Lattice Energy'!$AQ$65:$AQ$66</c:f>
              <c:numCache/>
            </c:numRef>
          </c:xVal>
          <c:yVal>
            <c:numRef>
              <c:f>'Lattice Energy'!$AR$65:$AR$66</c:f>
              <c:numCache/>
            </c:numRef>
          </c:yVal>
          <c:smooth val="0"/>
        </c:ser>
        <c:ser>
          <c:idx val="19"/>
          <c:order val="13"/>
          <c:tx>
            <c:strRef>
              <c:f>'Lattice Energy'!$AP$67</c:f>
              <c:strCache>
                <c:ptCount val="1"/>
                <c:pt idx="0">
                  <c:v>cap M(g)+ + X–(g)</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tx>
                <c:rich>
                  <a:bodyPr vert="horz" rot="0" anchor="ctr"/>
                  <a:lstStyle/>
                  <a:p>
                    <a:pPr algn="r">
                      <a:defRPr/>
                    </a:pPr>
                    <a:r>
                      <a:rPr lang="en-US" cap="none" sz="900" b="0" i="0" u="none" baseline="0">
                        <a:solidFill>
                          <a:srgbClr val="000000"/>
                        </a:solidFill>
                        <a:latin typeface="Arial"/>
                        <a:ea typeface="Arial"/>
                        <a:cs typeface="Arial"/>
                      </a:rPr>
                      <a:t>Ca</a:t>
                    </a:r>
                    <a:r>
                      <a:rPr lang="en-US" cap="none" sz="900" b="0" i="0" u="none" baseline="30000">
                        <a:solidFill>
                          <a:srgbClr val="000000"/>
                        </a:solidFill>
                        <a:latin typeface="Arial"/>
                        <a:ea typeface="Arial"/>
                        <a:cs typeface="Arial"/>
                      </a:rPr>
                      <a:t>2+</a:t>
                    </a:r>
                    <a:r>
                      <a:rPr lang="en-US" cap="none" sz="900" b="0" i="0" u="none" baseline="0">
                        <a:solidFill>
                          <a:srgbClr val="000000"/>
                        </a:solidFill>
                        <a:latin typeface="Arial"/>
                        <a:ea typeface="Arial"/>
                        <a:cs typeface="Arial"/>
                      </a:rPr>
                      <a:t>(g)</a:t>
                    </a:r>
                  </a:p>
                </c:rich>
              </c:tx>
              <c:numFmt formatCode="General" sourceLinked="1"/>
              <c:dLblPos val="l"/>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000000"/>
                        </a:solidFill>
                        <a:latin typeface="Arial"/>
                        <a:ea typeface="Arial"/>
                        <a:cs typeface="Arial"/>
                      </a:rPr>
                      <a:t>+ 2Cl</a:t>
                    </a:r>
                    <a:r>
                      <a:rPr lang="en-US" cap="none" sz="900" b="0" i="0" u="none" baseline="30000">
                        <a:solidFill>
                          <a:srgbClr val="000000"/>
                        </a:solidFill>
                        <a:latin typeface="Arial"/>
                        <a:ea typeface="Arial"/>
                        <a:cs typeface="Arial"/>
                      </a:rPr>
                      <a:t>–</a:t>
                    </a:r>
                    <a:r>
                      <a:rPr lang="en-US" cap="none" sz="900" b="0" i="0" u="none" baseline="0">
                        <a:solidFill>
                          <a:srgbClr val="000000"/>
                        </a:solidFill>
                        <a:latin typeface="Arial"/>
                        <a:ea typeface="Arial"/>
                        <a:cs typeface="Arial"/>
                      </a:rPr>
                      <a:t>(g)</a:t>
                    </a:r>
                  </a:p>
                </c:rich>
              </c:tx>
              <c:numFmt formatCode="General" sourceLinked="1"/>
              <c:dLblPos val="ctr"/>
              <c:showLegendKey val="0"/>
              <c:showVal val="0"/>
              <c:showBubbleSize val="0"/>
              <c:showCatName val="1"/>
              <c:showSerName val="0"/>
              <c:showPercent val="0"/>
            </c:dLbl>
            <c:numFmt formatCode="General" sourceLinked="1"/>
            <c:showLegendKey val="0"/>
            <c:showVal val="0"/>
            <c:showBubbleSize val="0"/>
            <c:showCatName val="0"/>
            <c:showSerName val="0"/>
            <c:showPercent val="0"/>
          </c:dLbls>
          <c:xVal>
            <c:numRef>
              <c:f>'Lattice Energy'!$AQ$67:$AQ$69</c:f>
              <c:numCache/>
            </c:numRef>
          </c:xVal>
          <c:yVal>
            <c:numRef>
              <c:f>'Lattice Energy'!$AR$67:$AR$69</c:f>
              <c:numCache/>
            </c:numRef>
          </c:yVal>
          <c:smooth val="0"/>
        </c:ser>
        <c:ser>
          <c:idx val="11"/>
          <c:order val="14"/>
          <c:tx>
            <c:strRef>
              <c:f>'Lattice Energy'!$AP$70</c:f>
              <c:strCache>
                <c:ptCount val="1"/>
                <c:pt idx="0">
                  <c:v>con lattice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'Lattice Energy'!$AQ$70:$AQ$71</c:f>
              <c:numCache/>
            </c:numRef>
          </c:xVal>
          <c:yVal>
            <c:numRef>
              <c:f>'Lattice Energy'!$AR$70:$AR$71</c:f>
              <c:numCache/>
            </c:numRef>
          </c:yVal>
          <c:smooth val="0"/>
        </c:ser>
        <c:ser>
          <c:idx val="12"/>
          <c:order val="15"/>
          <c:tx>
            <c:strRef>
              <c:f>'Lattice Energy'!$AP$73</c:f>
              <c:strCache>
                <c:ptCount val="1"/>
                <c:pt idx="0">
                  <c:v>lattice formed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5400">
                <a:solidFill>
                  <a:srgbClr val="000080"/>
                </a:solidFill>
              </a:ln>
            </c:spPr>
            <c:marker>
              <c:symbol val="none"/>
            </c:marker>
          </c:dPt>
          <c:xVal>
            <c:numRef>
              <c:f>'Lattice Energy'!$AQ$73:$AQ$74</c:f>
              <c:numCache/>
            </c:numRef>
          </c:xVal>
          <c:yVal>
            <c:numRef>
              <c:f>'Lattice Energy'!$AR$73:$AR$74</c:f>
              <c:numCache/>
            </c:numRef>
          </c:yVal>
          <c:smooth val="0"/>
        </c:ser>
        <c:ser>
          <c:idx val="8"/>
          <c:order val="16"/>
          <c:tx>
            <c:strRef>
              <c:f>'Lattice Energy'!$AP$75</c:f>
              <c:strCache>
                <c:ptCount val="1"/>
                <c:pt idx="0">
                  <c:v>cap MX(s)</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tx>
                <c:rich>
                  <a:bodyPr vert="horz" rot="0" anchor="ctr"/>
                  <a:lstStyle/>
                  <a:p>
                    <a:pPr algn="ctr">
                      <a:defRPr/>
                    </a:pPr>
                    <a:r>
                      <a:rPr lang="en-US" cap="none" sz="900" b="0" i="0" u="none" baseline="0">
                        <a:solidFill>
                          <a:srgbClr val="000000"/>
                        </a:solidFill>
                        <a:latin typeface="Arial"/>
                        <a:ea typeface="Arial"/>
                        <a:cs typeface="Arial"/>
                      </a:rPr>
                      <a:t>CaCl</a:t>
                    </a:r>
                    <a:r>
                      <a:rPr lang="en-US" cap="none" sz="900" b="0" i="0" u="none" baseline="-25000">
                        <a:solidFill>
                          <a:srgbClr val="000000"/>
                        </a:solidFill>
                        <a:latin typeface="Arial"/>
                        <a:ea typeface="Arial"/>
                        <a:cs typeface="Arial"/>
                      </a:rPr>
                      <a:t>2</a:t>
                    </a:r>
                    <a:r>
                      <a:rPr lang="en-US" cap="none" sz="900" b="0" i="0" u="none" baseline="0">
                        <a:solidFill>
                          <a:srgbClr val="000000"/>
                        </a:solidFill>
                        <a:latin typeface="Arial"/>
                        <a:ea typeface="Arial"/>
                        <a:cs typeface="Arial"/>
                      </a:rPr>
                      <a:t>(s)</a:t>
                    </a:r>
                  </a:p>
                </c:rich>
              </c:tx>
              <c:numFmt formatCode="General" sourceLinked="1"/>
              <c:dLblPos val="ctr"/>
              <c:showLegendKey val="0"/>
              <c:showVal val="0"/>
              <c:showBubbleSize val="0"/>
              <c:showCatName val="1"/>
              <c:showSerName val="0"/>
              <c:showPercent val="0"/>
            </c:dLbl>
            <c:numFmt formatCode="General" sourceLinked="1"/>
            <c:showLegendKey val="0"/>
            <c:showVal val="0"/>
            <c:showBubbleSize val="0"/>
            <c:showCatName val="0"/>
            <c:showSerName val="0"/>
            <c:showPercent val="0"/>
          </c:dLbls>
          <c:xVal>
            <c:numRef>
              <c:f>'Lattice Energy'!$AQ$75</c:f>
              <c:numCache/>
            </c:numRef>
          </c:xVal>
          <c:yVal>
            <c:numRef>
              <c:f>'Lattice Energy'!$AR$75</c:f>
              <c:numCache/>
            </c:numRef>
          </c:yVal>
          <c:smooth val="0"/>
        </c:ser>
        <c:ser>
          <c:idx val="13"/>
          <c:order val="17"/>
          <c:tx>
            <c:strRef>
              <c:f>'Lattice Energy'!$AP$76</c:f>
              <c:strCache>
                <c:ptCount val="1"/>
                <c:pt idx="0">
                  <c:v>con enthalpy of form.</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'Lattice Energy'!$AQ$76:$AQ$77</c:f>
              <c:numCache/>
            </c:numRef>
          </c:xVal>
          <c:yVal>
            <c:numRef>
              <c:f>'Lattice Energy'!$AR$76:$AR$77</c:f>
              <c:numCache/>
            </c:numRef>
          </c:yVal>
          <c:smooth val="0"/>
        </c:ser>
        <c:ser>
          <c:idx val="7"/>
          <c:order val="18"/>
          <c:tx>
            <c:strRef>
              <c:f>'Lattice Energy'!$AP$40</c:f>
              <c:strCache>
                <c:ptCount val="1"/>
                <c:pt idx="0">
                  <c:v>atom.</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900" b="0" i="0" u="none" baseline="0">
                    <a:solidFill>
                      <a:srgbClr val="000000"/>
                    </a:solidFill>
                    <a:latin typeface="Arial"/>
                    <a:ea typeface="Arial"/>
                    <a:cs typeface="Arial"/>
                  </a:defRPr>
                </a:pPr>
              </a:p>
            </c:txPr>
            <c:dLblPos val="l"/>
            <c:showLegendKey val="0"/>
            <c:showVal val="0"/>
            <c:showBubbleSize val="0"/>
            <c:showCatName val="0"/>
            <c:showSerName val="1"/>
            <c:showPercent val="0"/>
          </c:dLbls>
          <c:xVal>
            <c:numRef>
              <c:f>'Lattice Energy'!$AQ$40</c:f>
              <c:numCache/>
            </c:numRef>
          </c:xVal>
          <c:yVal>
            <c:numRef>
              <c:f>'Lattice Energy'!$AR$40</c:f>
              <c:numCache/>
            </c:numRef>
          </c:yVal>
          <c:smooth val="0"/>
        </c:ser>
        <c:ser>
          <c:idx val="17"/>
          <c:order val="19"/>
          <c:tx>
            <c:strRef>
              <c:f>'Lattice Energy'!$AP$48</c:f>
              <c:strCache>
                <c:ptCount val="1"/>
                <c:pt idx="0">
                  <c:v>I. E.</c:v>
                </c:pt>
              </c:strCache>
            </c:strRef>
          </c:tx>
          <c:spPr>
            <a:ln w="127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tx>
                <c:rich>
                  <a:bodyPr vert="horz" rot="0" anchor="ctr"/>
                  <a:lstStyle/>
                  <a:p>
                    <a:pPr algn="ctr">
                      <a:defRPr/>
                    </a:pPr>
                    <a:r>
                      <a:rPr lang="en-US" cap="none" sz="900" b="0" i="0" u="none" baseline="0">
                        <a:solidFill>
                          <a:srgbClr val="000000"/>
                        </a:solidFill>
                        <a:latin typeface="Arial"/>
                        <a:ea typeface="Arial"/>
                        <a:cs typeface="Arial"/>
                      </a:rPr>
                      <a:t>I. E.</a:t>
                    </a:r>
                  </a:p>
                </c:rich>
              </c:tx>
              <c:numFmt formatCode="General" sourceLinked="1"/>
              <c:dLblPos val="l"/>
              <c:showLegendKey val="0"/>
              <c:showVal val="0"/>
              <c:showBubbleSize val="0"/>
              <c:showCatName val="1"/>
              <c:showSerName val="0"/>
              <c:showPercent val="0"/>
            </c:dLbl>
            <c:numFmt formatCode="General" sourceLinked="1"/>
            <c:txPr>
              <a:bodyPr vert="horz" rot="0" anchor="ctr"/>
              <a:lstStyle/>
              <a:p>
                <a:pPr algn="ctr">
                  <a:defRPr lang="en-US" cap="none" sz="900" b="0" i="0" u="none" baseline="0">
                    <a:solidFill>
                      <a:srgbClr val="000000"/>
                    </a:solidFill>
                    <a:latin typeface="Arial"/>
                    <a:ea typeface="Arial"/>
                    <a:cs typeface="Arial"/>
                  </a:defRPr>
                </a:pPr>
              </a:p>
            </c:txPr>
            <c:dLblPos val="l"/>
            <c:showLegendKey val="0"/>
            <c:showVal val="0"/>
            <c:showBubbleSize val="0"/>
            <c:showCatName val="1"/>
            <c:showSerName val="0"/>
            <c:showPercent val="0"/>
          </c:dLbls>
          <c:xVal>
            <c:numRef>
              <c:f>'Lattice Energy'!$AQ$48</c:f>
              <c:numCache/>
            </c:numRef>
          </c:xVal>
          <c:yVal>
            <c:numRef>
              <c:f>'Lattice Energy'!$AR$48</c:f>
              <c:numCache/>
            </c:numRef>
          </c:yVal>
          <c:smooth val="0"/>
        </c:ser>
        <c:ser>
          <c:idx val="20"/>
          <c:order val="20"/>
          <c:tx>
            <c:strRef>
              <c:f>'Lattice Energy'!$AP$56</c:f>
              <c:strCache>
                <c:ptCount val="1"/>
                <c:pt idx="0">
                  <c:v>X atomizes</c:v>
                </c:pt>
              </c:strCache>
            </c:strRef>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tx>
                <c:rich>
                  <a:bodyPr vert="horz" rot="0" anchor="ctr"/>
                  <a:lstStyle/>
                  <a:p>
                    <a:pPr algn="ctr">
                      <a:defRPr/>
                    </a:pPr>
                    <a:r>
                      <a:rPr lang="en-US" cap="none" sz="900" b="0" i="0" u="none" baseline="0">
                        <a:solidFill>
                          <a:srgbClr val="000000"/>
                        </a:solidFill>
                        <a:latin typeface="Arial"/>
                        <a:ea typeface="Arial"/>
                        <a:cs typeface="Arial"/>
                      </a:rPr>
                      <a:t>atom.</a:t>
                    </a:r>
                  </a:p>
                </c:rich>
              </c:tx>
              <c:numFmt formatCode="General" sourceLinked="1"/>
              <c:dLblPos val="l"/>
              <c:showLegendKey val="0"/>
              <c:showVal val="0"/>
              <c:showBubbleSize val="0"/>
              <c:showCatName val="1"/>
              <c:showSerName val="0"/>
              <c:showPercent val="0"/>
            </c:dLbl>
            <c:numFmt formatCode="General" sourceLinked="1"/>
            <c:showLegendKey val="0"/>
            <c:showVal val="0"/>
            <c:showBubbleSize val="0"/>
            <c:showCatName val="0"/>
            <c:showSerName val="0"/>
            <c:showPercent val="0"/>
          </c:dLbls>
          <c:xVal>
            <c:numRef>
              <c:f>'Lattice Energy'!$AQ$56</c:f>
              <c:numCache/>
            </c:numRef>
          </c:xVal>
          <c:yVal>
            <c:numRef>
              <c:f>'Lattice Energy'!$AR$56</c:f>
              <c:numCache/>
            </c:numRef>
          </c:yVal>
          <c:smooth val="0"/>
        </c:ser>
        <c:ser>
          <c:idx val="21"/>
          <c:order val="21"/>
          <c:tx>
            <c:strRef>
              <c:f>'Lattice Energy'!$AP$64</c:f>
              <c:strCache>
                <c:ptCount val="1"/>
                <c:pt idx="0">
                  <c:v>E.G.</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tx>
                <c:rich>
                  <a:bodyPr vert="horz" rot="0" anchor="ctr"/>
                  <a:lstStyle/>
                  <a:p>
                    <a:pPr algn="ctr">
                      <a:defRPr/>
                    </a:pPr>
                    <a:r>
                      <a:rPr lang="en-US" cap="none" sz="900" b="0" i="0" u="none" baseline="0">
                        <a:solidFill>
                          <a:srgbClr val="000000"/>
                        </a:solidFill>
                        <a:latin typeface="Arial"/>
                        <a:ea typeface="Arial"/>
                        <a:cs typeface="Arial"/>
                      </a:rPr>
                      <a:t>E. A.</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0"/>
            <c:showSerName val="0"/>
            <c:showPercent val="0"/>
          </c:dLbls>
          <c:xVal>
            <c:numRef>
              <c:f>'Lattice Energy'!$AQ$64</c:f>
              <c:numCache/>
            </c:numRef>
          </c:xVal>
          <c:yVal>
            <c:numRef>
              <c:f>'Lattice Energy'!$AR$64</c:f>
              <c:numCache/>
            </c:numRef>
          </c:yVal>
          <c:smooth val="0"/>
        </c:ser>
        <c:ser>
          <c:idx val="22"/>
          <c:order val="22"/>
          <c:tx>
            <c:strRef>
              <c:f>'Lattice Energy'!$AP$72</c:f>
              <c:strCache>
                <c:ptCount val="1"/>
                <c:pt idx="0">
                  <c:v>Lattice</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tx>
                <c:rich>
                  <a:bodyPr vert="horz" rot="0" anchor="ctr"/>
                  <a:lstStyle/>
                  <a:p>
                    <a:pPr algn="ctr">
                      <a:defRPr/>
                    </a:pPr>
                    <a:r>
                      <a:rPr lang="en-US" cap="none" sz="1175" b="0" i="0" u="none" baseline="0">
                        <a:solidFill>
                          <a:srgbClr val="000000"/>
                        </a:solidFill>
                        <a:latin typeface="Arial"/>
                        <a:ea typeface="Arial"/>
                        <a:cs typeface="Arial"/>
                      </a:rPr>
                      <a:t>lattice</a:t>
                    </a:r>
                  </a:p>
                </c:rich>
              </c:tx>
              <c:numFmt formatCode="General" sourceLinked="1"/>
              <c:spPr>
                <a:noFill/>
                <a:ln>
                  <a:noFill/>
                </a:ln>
              </c:spPr>
              <c:showLegendKey val="0"/>
              <c:showVal val="0"/>
              <c:showBubbleSize val="0"/>
              <c:showCatName val="1"/>
              <c:showSerName val="0"/>
              <c:showPercent val="0"/>
            </c:dLbl>
            <c:numFmt formatCode="General" sourceLinked="1"/>
            <c:spPr>
              <a:noFill/>
              <a:ln>
                <a:noFill/>
              </a:ln>
            </c:spPr>
            <c:showLegendKey val="0"/>
            <c:showVal val="0"/>
            <c:showBubbleSize val="0"/>
            <c:showCatName val="0"/>
            <c:showSerName val="1"/>
            <c:showPercent val="0"/>
          </c:dLbls>
          <c:xVal>
            <c:numRef>
              <c:f>'Lattice Energy'!$AQ$72</c:f>
              <c:numCache/>
            </c:numRef>
          </c:xVal>
          <c:yVal>
            <c:numRef>
              <c:f>'Lattice Energy'!$AR$72</c:f>
              <c:numCache/>
            </c:numRef>
          </c:yVal>
          <c:smooth val="0"/>
        </c:ser>
        <c:axId val="19832171"/>
        <c:axId val="44271812"/>
      </c:scatterChart>
      <c:valAx>
        <c:axId val="19832171"/>
        <c:scaling>
          <c:orientation val="minMax"/>
          <c:max val="0.48"/>
          <c:min val="0.02"/>
        </c:scaling>
        <c:axPos val="b"/>
        <c:delete val="0"/>
        <c:numFmt formatCode="General" sourceLinked="1"/>
        <c:majorTickMark val="none"/>
        <c:minorTickMark val="none"/>
        <c:tickLblPos val="none"/>
        <c:spPr>
          <a:ln w="3175">
            <a:noFill/>
          </a:ln>
        </c:spPr>
        <c:crossAx val="44271812"/>
        <c:crossesAt val="-1000000000"/>
        <c:crossBetween val="midCat"/>
        <c:dispUnits/>
      </c:valAx>
      <c:valAx>
        <c:axId val="44271812"/>
        <c:scaling>
          <c:orientation val="minMax"/>
        </c:scaling>
        <c:axPos val="l"/>
        <c:title>
          <c:tx>
            <c:rich>
              <a:bodyPr vert="horz" rot="-5400000" anchor="ctr"/>
              <a:lstStyle/>
              <a:p>
                <a:pPr algn="ctr">
                  <a:defRPr/>
                </a:pPr>
                <a:r>
                  <a:rPr lang="en-US" cap="none" sz="1175" b="1" i="0" u="none" baseline="0">
                    <a:solidFill>
                      <a:srgbClr val="000000"/>
                    </a:solidFill>
                    <a:latin typeface="Arial"/>
                    <a:ea typeface="Arial"/>
                    <a:cs typeface="Arial"/>
                  </a:rPr>
                  <a:t>Energy / (kJ/mol)</a:t>
                </a:r>
              </a:p>
            </c:rich>
          </c:tx>
          <c:layout>
            <c:manualLayout>
              <c:xMode val="factor"/>
              <c:yMode val="factor"/>
              <c:x val="0.0035"/>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19832171"/>
        <c:crosses val="autoZero"/>
        <c:crossBetween val="midCat"/>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Structure Map for MX Main Group Compounds</a:t>
            </a:r>
          </a:p>
        </c:rich>
      </c:tx>
      <c:layout/>
      <c:spPr>
        <a:noFill/>
        <a:ln>
          <a:noFill/>
        </a:ln>
      </c:spPr>
    </c:title>
    <c:plotArea>
      <c:layout>
        <c:manualLayout>
          <c:xMode val="edge"/>
          <c:yMode val="edge"/>
          <c:x val="0.10875"/>
          <c:y val="0.0825"/>
          <c:w val="0.88825"/>
          <c:h val="0.8405"/>
        </c:manualLayout>
      </c:layout>
      <c:scatterChart>
        <c:scatterStyle val="lineMarker"/>
        <c:varyColors val="0"/>
        <c:ser>
          <c:idx val="8"/>
          <c:order val="0"/>
          <c:tx>
            <c:v>Cesium Chloride (8,8)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FF"/>
              </a:solidFill>
              <a:ln>
                <a:noFill/>
              </a:ln>
            </c:spPr>
          </c:marker>
          <c:xVal>
            <c:numRef>
              <c:f>'MX Structure Map'!$L$47:$L$53</c:f>
              <c:numCache/>
            </c:numRef>
          </c:xVal>
          <c:yVal>
            <c:numRef>
              <c:f>'MX Structure Map'!$M$47:$M$53</c:f>
              <c:numCache/>
            </c:numRef>
          </c:yVal>
          <c:smooth val="0"/>
        </c:ser>
        <c:ser>
          <c:idx val="0"/>
          <c:order val="1"/>
          <c:tx>
            <c:v>Rock Salt (6,6)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0080"/>
                </a:solidFill>
              </a:ln>
            </c:spPr>
          </c:marker>
          <c:xVal>
            <c:numRef>
              <c:f>'MX Structure Map'!$L$57:$L$97</c:f>
              <c:numCache/>
            </c:numRef>
          </c:xVal>
          <c:yVal>
            <c:numRef>
              <c:f>'MX Structure Map'!$M$57:$M$97</c:f>
              <c:numCache/>
            </c:numRef>
          </c:yVal>
          <c:smooth val="0"/>
        </c:ser>
        <c:ser>
          <c:idx val="2"/>
          <c:order val="2"/>
          <c:tx>
            <c:v>Sphalerite (4,4)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FF00"/>
              </a:solidFill>
              <a:ln>
                <a:solidFill>
                  <a:srgbClr val="333333"/>
                </a:solidFill>
              </a:ln>
            </c:spPr>
          </c:marker>
          <c:xVal>
            <c:numRef>
              <c:f>'MX Structure Map'!$L$101:$L$123</c:f>
              <c:numCache/>
            </c:numRef>
          </c:xVal>
          <c:yVal>
            <c:numRef>
              <c:f>'MX Structure Map'!$M$101:$M$123</c:f>
              <c:numCache/>
            </c:numRef>
          </c:yVal>
          <c:smooth val="0"/>
        </c:ser>
        <c:ser>
          <c:idx val="5"/>
          <c:order val="3"/>
          <c:tx>
            <c:v>Wurtzite (4,4)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FF00"/>
              </a:solidFill>
              <a:ln>
                <a:solidFill>
                  <a:srgbClr val="333333"/>
                </a:solidFill>
              </a:ln>
            </c:spPr>
          </c:marker>
          <c:xVal>
            <c:numRef>
              <c:f>'MX Structure Map'!$L$127:$L$133</c:f>
              <c:numCache/>
            </c:numRef>
          </c:xVal>
          <c:yVal>
            <c:numRef>
              <c:f>'MX Structure Map'!$M$127:$M$133</c:f>
              <c:numCache/>
            </c:numRef>
          </c:yVal>
          <c:smooth val="0"/>
        </c:ser>
        <c:ser>
          <c:idx val="11"/>
          <c:order val="4"/>
          <c:tx>
            <c:v>Sphalerite &amp; Wurtzite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3"/>
            <c:spPr>
              <a:solidFill>
                <a:srgbClr val="00FF00"/>
              </a:solidFill>
              <a:ln>
                <a:solidFill>
                  <a:srgbClr val="333333"/>
                </a:solidFill>
              </a:ln>
            </c:spPr>
          </c:marker>
          <c:xVal>
            <c:numRef>
              <c:f>'MX Structure Map'!$L$136:$L$142</c:f>
              <c:numCache/>
            </c:numRef>
          </c:xVal>
          <c:yVal>
            <c:numRef>
              <c:f>'MX Structure Map'!$M$136:$M$142</c:f>
              <c:numCache/>
            </c:numRef>
          </c:yVal>
          <c:smooth val="0"/>
        </c:ser>
        <c:ser>
          <c:idx val="9"/>
          <c:order val="5"/>
          <c:tx>
            <c:v>Your Compound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800000"/>
              </a:solidFill>
              <a:ln>
                <a:solidFill>
                  <a:srgbClr val="FFFF00"/>
                </a:solidFill>
              </a:ln>
            </c:spPr>
          </c:marker>
          <c:dLbls>
            <c:dLbl>
              <c:idx val="0"/>
              <c:layout>
                <c:manualLayout>
                  <c:x val="0"/>
                  <c:y val="0"/>
                </c:manualLayout>
              </c:layout>
              <c:tx>
                <c:strRef>
                  <c:f>'MX Structure Map'!$K$4</c:f>
                  <c:strCache>
                    <c:ptCount val="1"/>
                    <c:pt idx="0">
                      <c:v>TiO</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dLbls>
          <c:xVal>
            <c:numRef>
              <c:f>'MX Structure Map'!$L$4</c:f>
              <c:numCache/>
            </c:numRef>
          </c:xVal>
          <c:yVal>
            <c:numRef>
              <c:f>'MX Structure Map'!$M$4</c:f>
              <c:numCache/>
            </c:numRef>
          </c:yVal>
          <c:smooth val="0"/>
        </c:ser>
        <c:ser>
          <c:idx val="1"/>
          <c:order val="6"/>
          <c:tx>
            <c:v>Separation Line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'MX Structure Map'!$P$128:$P$132</c:f>
              <c:numCache/>
            </c:numRef>
          </c:xVal>
          <c:yVal>
            <c:numRef>
              <c:f>'MX Structure Map'!$Q$128:$Q$132</c:f>
              <c:numCache/>
            </c:numRef>
          </c:yVal>
          <c:smooth val="1"/>
        </c:ser>
        <c:axId val="62901989"/>
        <c:axId val="29246990"/>
      </c:scatterChart>
      <c:valAx>
        <c:axId val="62901989"/>
        <c:scaling>
          <c:orientation val="minMax"/>
          <c:min val="0"/>
        </c:scaling>
        <c:axPos val="b"/>
        <c:title>
          <c:tx>
            <c:rich>
              <a:bodyPr vert="horz" rot="0" anchor="ctr"/>
              <a:lstStyle/>
              <a:p>
                <a:pPr algn="ctr">
                  <a:defRPr/>
                </a:pPr>
                <a:r>
                  <a:rPr lang="en-US" cap="none" sz="1200" b="1" i="0" u="none" baseline="0">
                    <a:solidFill>
                      <a:srgbClr val="000000"/>
                    </a:solidFill>
                  </a:rPr>
                  <a:t>Dc</a:t>
                </a:r>
                <a:r>
                  <a:rPr lang="en-US" cap="none" sz="1300" b="1" i="0" u="none" baseline="0">
                    <a:solidFill>
                      <a:srgbClr val="000000"/>
                    </a:solidFill>
                  </a:rPr>
                  <a:t>
</a:t>
                </a:r>
                <a:r>
                  <a:rPr lang="en-US" cap="none" sz="1000" b="1" i="0" u="none" baseline="0">
                    <a:solidFill>
                      <a:srgbClr val="000000"/>
                    </a:solidFill>
                    <a:latin typeface="Arial"/>
                    <a:ea typeface="Arial"/>
                    <a:cs typeface="Arial"/>
                  </a:rPr>
                  <a:t>Increasing Ionicity </a:t>
                </a:r>
                <a:r>
                  <a:rPr lang="en-US" cap="none" sz="1000" b="1" i="0" u="none" baseline="0">
                    <a:solidFill>
                      <a:srgbClr val="000000"/>
                    </a:solidFill>
                  </a:rPr>
                  <a:t></a:t>
                </a:r>
              </a:p>
            </c:rich>
          </c:tx>
          <c:layout>
            <c:manualLayout>
              <c:xMode val="factor"/>
              <c:yMode val="factor"/>
              <c:x val="0.013"/>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9246990"/>
        <c:crosses val="autoZero"/>
        <c:crossBetween val="midCat"/>
        <c:dispUnits/>
      </c:valAx>
      <c:valAx>
        <c:axId val="2924699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Decreasing Directionality </a:t>
                </a:r>
                <a:r>
                  <a:rPr lang="en-US" cap="none" sz="1000" b="1" i="0" u="none" baseline="0">
                    <a:solidFill>
                      <a:srgbClr val="000000"/>
                    </a:solidFill>
                  </a:rPr>
                  <a:t></a:t>
                </a:r>
                <a:r>
                  <a:rPr lang="en-US" cap="none" sz="13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Average Principal Quantum Number</a:t>
                </a:r>
                <a:r>
                  <a:rPr lang="en-US" cap="none" sz="1300" b="1" i="0" u="none" baseline="0">
                    <a:solidFill>
                      <a:srgbClr val="000000"/>
                    </a:solidFill>
                    <a:latin typeface="Arial"/>
                    <a:ea typeface="Arial"/>
                    <a:cs typeface="Arial"/>
                  </a:rPr>
                  <a:t>
</a:t>
                </a:r>
              </a:p>
            </c:rich>
          </c:tx>
          <c:layout>
            <c:manualLayout>
              <c:xMode val="factor"/>
              <c:yMode val="factor"/>
              <c:x val="-0.007"/>
              <c:y val="-0.034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2901989"/>
        <c:crosses val="autoZero"/>
        <c:crossBetween val="midCat"/>
        <c:dispUnits/>
      </c:valAx>
      <c:spPr>
        <a:solidFill>
          <a:srgbClr val="C0C0C0"/>
        </a:solidFill>
        <a:ln w="12700">
          <a:solidFill>
            <a:srgbClr val="808080"/>
          </a:solidFill>
        </a:ln>
      </c:spPr>
    </c:plotArea>
    <c:legend>
      <c:legendPos val="r"/>
      <c:legendEntry>
        <c:idx val="6"/>
        <c:delete val="1"/>
      </c:legendEntry>
      <c:layout>
        <c:manualLayout>
          <c:xMode val="edge"/>
          <c:yMode val="edge"/>
          <c:x val="0.73825"/>
          <c:y val="0.11825"/>
          <c:w val="0.25225"/>
          <c:h val="0.236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Structure Map for MX </a:t>
            </a:r>
            <a:r>
              <a:rPr lang="en-US" cap="none" sz="1400" b="1" i="1" u="none" baseline="0">
                <a:solidFill>
                  <a:srgbClr val="000000"/>
                </a:solidFill>
                <a:latin typeface="Arial"/>
                <a:ea typeface="Arial"/>
                <a:cs typeface="Arial"/>
              </a:rPr>
              <a:t>d</a:t>
            </a:r>
            <a:r>
              <a:rPr lang="en-US" cap="none" sz="1400" b="1" i="0" u="none" baseline="0">
                <a:solidFill>
                  <a:srgbClr val="000000"/>
                </a:solidFill>
                <a:latin typeface="Arial"/>
                <a:ea typeface="Arial"/>
                <a:cs typeface="Arial"/>
              </a:rPr>
              <a:t> and </a:t>
            </a:r>
            <a:r>
              <a:rPr lang="en-US" cap="none" sz="1400" b="1" i="1" u="none" baseline="0">
                <a:solidFill>
                  <a:srgbClr val="000000"/>
                </a:solidFill>
                <a:latin typeface="Arial"/>
                <a:ea typeface="Arial"/>
                <a:cs typeface="Arial"/>
              </a:rPr>
              <a:t>f</a:t>
            </a:r>
            <a:r>
              <a:rPr lang="en-US" cap="none" sz="1400" b="1" i="0" u="none" baseline="0">
                <a:solidFill>
                  <a:srgbClr val="000000"/>
                </a:solidFill>
                <a:latin typeface="Arial"/>
                <a:ea typeface="Arial"/>
                <a:cs typeface="Arial"/>
              </a:rPr>
              <a:t> block Compounds</a:t>
            </a:r>
          </a:p>
        </c:rich>
      </c:tx>
      <c:layout/>
      <c:spPr>
        <a:noFill/>
        <a:ln>
          <a:noFill/>
        </a:ln>
      </c:spPr>
    </c:title>
    <c:plotArea>
      <c:layout>
        <c:manualLayout>
          <c:xMode val="edge"/>
          <c:yMode val="edge"/>
          <c:x val="0.10775"/>
          <c:y val="0.06425"/>
          <c:w val="0.88925"/>
          <c:h val="0.86325"/>
        </c:manualLayout>
      </c:layout>
      <c:scatterChart>
        <c:scatterStyle val="lineMarker"/>
        <c:varyColors val="0"/>
        <c:ser>
          <c:idx val="1"/>
          <c:order val="0"/>
          <c:tx>
            <c:v>Rock Salt (6,6)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0080"/>
                </a:solidFill>
              </a:ln>
            </c:spPr>
          </c:marker>
          <c:xVal>
            <c:numRef>
              <c:f>'MX Structure Map'!$X$66:$X$114</c:f>
              <c:numCache/>
            </c:numRef>
          </c:xVal>
          <c:yVal>
            <c:numRef>
              <c:f>'MX Structure Map'!$Y$66:$Y$114</c:f>
              <c:numCache/>
            </c:numRef>
          </c:yVal>
          <c:smooth val="0"/>
        </c:ser>
        <c:ser>
          <c:idx val="7"/>
          <c:order val="1"/>
          <c:tx>
            <c:v>Nickel Arsenide (6,6)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FFFF"/>
              </a:solidFill>
              <a:ln>
                <a:solidFill>
                  <a:srgbClr val="333333"/>
                </a:solidFill>
              </a:ln>
            </c:spPr>
          </c:marker>
          <c:xVal>
            <c:numRef>
              <c:f>'MX Structure Map'!$X$48:$X$63</c:f>
              <c:numCache/>
            </c:numRef>
          </c:xVal>
          <c:yVal>
            <c:numRef>
              <c:f>'MX Structure Map'!$Y$48:$Y$63</c:f>
              <c:numCache/>
            </c:numRef>
          </c:yVal>
          <c:smooth val="0"/>
        </c:ser>
        <c:ser>
          <c:idx val="11"/>
          <c:order val="2"/>
          <c:tx>
            <c:v>Sphalerite &amp; Wurtzite (4,4)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3"/>
            <c:spPr>
              <a:solidFill>
                <a:srgbClr val="00FF00"/>
              </a:solidFill>
              <a:ln>
                <a:solidFill>
                  <a:srgbClr val="333333"/>
                </a:solidFill>
              </a:ln>
            </c:spPr>
          </c:marker>
          <c:xVal>
            <c:numRef>
              <c:f>'MX Structure Map'!$X$117:$X$123</c:f>
              <c:numCache/>
            </c:numRef>
          </c:xVal>
          <c:yVal>
            <c:numRef>
              <c:f>'MX Structure Map'!$Y$117:$Y$123</c:f>
              <c:numCache/>
            </c:numRef>
          </c:yVal>
          <c:smooth val="0"/>
        </c:ser>
        <c:ser>
          <c:idx val="9"/>
          <c:order val="3"/>
          <c:tx>
            <c:v>Your Compound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800000"/>
              </a:solidFill>
              <a:ln>
                <a:solidFill>
                  <a:srgbClr val="FFFF00"/>
                </a:solidFill>
              </a:ln>
            </c:spPr>
          </c:marker>
          <c:dLbls>
            <c:dLbl>
              <c:idx val="0"/>
              <c:layout>
                <c:manualLayout>
                  <c:x val="0"/>
                  <c:y val="0"/>
                </c:manualLayout>
              </c:layout>
              <c:tx>
                <c:strRef>
                  <c:f>'MX Structure Map'!$K$4</c:f>
                  <c:strCache>
                    <c:ptCount val="1"/>
                    <c:pt idx="0">
                      <c:v>TiO</c:v>
                    </c:pt>
                  </c:strCache>
                </c:strRef>
              </c:tx>
              <c:txPr>
                <a:bodyPr vert="horz" rot="0" anchor="ctr"/>
                <a:lstStyle/>
                <a:p>
                  <a:pPr algn="ctr">
                    <a:defRPr lang="en-US" cap="none" sz="975"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975" b="0" i="0" u="none" baseline="0">
                    <a:solidFill>
                      <a:srgbClr val="000000"/>
                    </a:solidFill>
                    <a:latin typeface="Arial"/>
                    <a:ea typeface="Arial"/>
                    <a:cs typeface="Arial"/>
                  </a:defRPr>
                </a:pPr>
              </a:p>
            </c:txPr>
            <c:showLegendKey val="0"/>
            <c:showVal val="1"/>
            <c:showBubbleSize val="0"/>
            <c:showCatName val="0"/>
            <c:showSerName val="0"/>
            <c:showPercent val="0"/>
          </c:dLbls>
          <c:xVal>
            <c:numRef>
              <c:f>'MX Structure Map'!$L$4</c:f>
              <c:numCache/>
            </c:numRef>
          </c:xVal>
          <c:yVal>
            <c:numRef>
              <c:f>'MX Structure Map'!$M$4</c:f>
              <c:numCache/>
            </c:numRef>
          </c:yVal>
          <c:smooth val="0"/>
        </c:ser>
        <c:ser>
          <c:idx val="0"/>
          <c:order val="4"/>
          <c:tx>
            <c:v>Separation Line</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'MX Structure Map'!$P$128:$P$132</c:f>
              <c:numCache/>
            </c:numRef>
          </c:xVal>
          <c:yVal>
            <c:numRef>
              <c:f>'MX Structure Map'!$Q$128:$Q$132</c:f>
              <c:numCache/>
            </c:numRef>
          </c:yVal>
          <c:smooth val="1"/>
        </c:ser>
        <c:axId val="61896319"/>
        <c:axId val="20195960"/>
      </c:scatterChart>
      <c:valAx>
        <c:axId val="61896319"/>
        <c:scaling>
          <c:orientation val="minMax"/>
          <c:min val="0"/>
        </c:scaling>
        <c:axPos val="b"/>
        <c:title>
          <c:tx>
            <c:rich>
              <a:bodyPr vert="horz" rot="0" anchor="ctr"/>
              <a:lstStyle/>
              <a:p>
                <a:pPr algn="ctr">
                  <a:defRPr/>
                </a:pPr>
                <a:r>
                  <a:rPr lang="en-US" cap="none" sz="1200" b="1" i="0" u="none" baseline="0">
                    <a:solidFill>
                      <a:srgbClr val="000000"/>
                    </a:solidFill>
                  </a:rPr>
                  <a:t>Dc</a:t>
                </a:r>
                <a:r>
                  <a:rPr lang="en-US" cap="none" sz="1275" b="1" i="0" u="none" baseline="0">
                    <a:solidFill>
                      <a:srgbClr val="000000"/>
                    </a:solidFill>
                  </a:rPr>
                  <a:t>
</a:t>
                </a:r>
                <a:r>
                  <a:rPr lang="en-US" cap="none" sz="1000" b="1" i="0" u="none" baseline="0">
                    <a:solidFill>
                      <a:srgbClr val="000000"/>
                    </a:solidFill>
                    <a:latin typeface="Arial"/>
                    <a:ea typeface="Arial"/>
                    <a:cs typeface="Arial"/>
                  </a:rPr>
                  <a:t>Increasing Ionicity </a:t>
                </a:r>
                <a:r>
                  <a:rPr lang="en-US" cap="none" sz="1000" b="1" i="0" u="none" baseline="0">
                    <a:solidFill>
                      <a:srgbClr val="000000"/>
                    </a:solidFill>
                  </a:rPr>
                  <a:t></a:t>
                </a:r>
              </a:p>
            </c:rich>
          </c:tx>
          <c:layout>
            <c:manualLayout>
              <c:xMode val="factor"/>
              <c:yMode val="factor"/>
              <c:x val="0.01425"/>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0195960"/>
        <c:crosses val="autoZero"/>
        <c:crossBetween val="midCat"/>
        <c:dispUnits/>
      </c:valAx>
      <c:valAx>
        <c:axId val="20195960"/>
        <c:scaling>
          <c:orientation val="minMax"/>
          <c:max val="6"/>
          <c:min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Decreasing Directionality </a:t>
                </a:r>
                <a:r>
                  <a:rPr lang="en-US" cap="none" sz="1000" b="1" i="0" u="none" baseline="0">
                    <a:solidFill>
                      <a:srgbClr val="000000"/>
                    </a:solidFill>
                  </a:rPr>
                  <a:t></a:t>
                </a:r>
                <a:r>
                  <a:rPr lang="en-US" cap="none" sz="1275"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Average Principal Quantum Number</a:t>
                </a:r>
              </a:p>
            </c:rich>
          </c:tx>
          <c:layout>
            <c:manualLayout>
              <c:xMode val="factor"/>
              <c:yMode val="factor"/>
              <c:x val="-0.01325"/>
              <c:y val="-0.033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61896319"/>
        <c:crosses val="autoZero"/>
        <c:crossBetween val="midCat"/>
        <c:dispUnits/>
      </c:valAx>
      <c:spPr>
        <a:solidFill>
          <a:srgbClr val="C0C0C0"/>
        </a:solidFill>
        <a:ln w="12700">
          <a:solidFill>
            <a:srgbClr val="808080"/>
          </a:solidFill>
        </a:ln>
      </c:spPr>
    </c:plotArea>
    <c:legend>
      <c:legendPos val="r"/>
      <c:legendEntry>
        <c:idx val="4"/>
        <c:delete val="1"/>
      </c:legendEntry>
      <c:layout>
        <c:manualLayout>
          <c:xMode val="edge"/>
          <c:yMode val="edge"/>
          <c:x val="0.6975"/>
          <c:y val="0.099"/>
          <c:w val="0.2805"/>
          <c:h val="0.169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Structure Map for Group 14/15 and 14/16 Compounds</a:t>
            </a:r>
          </a:p>
        </c:rich>
      </c:tx>
      <c:layout/>
      <c:spPr>
        <a:noFill/>
        <a:ln>
          <a:noFill/>
        </a:ln>
      </c:spPr>
    </c:title>
    <c:plotArea>
      <c:layout>
        <c:manualLayout>
          <c:xMode val="edge"/>
          <c:yMode val="edge"/>
          <c:x val="0.1065"/>
          <c:y val="0.06275"/>
          <c:w val="0.89025"/>
          <c:h val="0.863"/>
        </c:manualLayout>
      </c:layout>
      <c:scatterChart>
        <c:scatterStyle val="lineMarker"/>
        <c:varyColors val="0"/>
        <c:ser>
          <c:idx val="1"/>
          <c:order val="0"/>
          <c:tx>
            <c:v>C.N. (6,6)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0080"/>
                </a:solidFill>
              </a:ln>
            </c:spPr>
          </c:marker>
          <c:dLbls>
            <c:dLbl>
              <c:idx val="0"/>
              <c:tx>
                <c:strRef>
                  <c:f>'MX Structure Map'!$AI$49</c:f>
                  <c:strCache>
                    <c:ptCount val="1"/>
                    <c:pt idx="0">
                      <c:v>GeP</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
              <c:tx>
                <c:strRef>
                  <c:f>'MX Structure Map'!$AI$50</c:f>
                  <c:strCache>
                    <c:ptCount val="1"/>
                    <c:pt idx="0">
                      <c:v>SnP</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
              <c:tx>
                <c:strRef>
                  <c:f>'MX Structure Map'!$AI$51</c:f>
                  <c:strCache>
                    <c:ptCount val="1"/>
                    <c:pt idx="0">
                      <c:v>SnAs</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
              <c:tx>
                <c:strRef>
                  <c:f>'MX Structure Map'!$AI$52</c:f>
                  <c:strCache>
                    <c:ptCount val="1"/>
                    <c:pt idx="0">
                      <c:v>SnSe</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
              <c:tx>
                <c:strRef>
                  <c:f>'MX Structure Map'!$AI$53</c:f>
                  <c:strCache>
                    <c:ptCount val="1"/>
                    <c:pt idx="0">
                      <c:v>SnTe</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5"/>
              <c:tx>
                <c:strRef>
                  <c:f>'MX Structure Map'!$AI$54</c:f>
                  <c:strCache>
                    <c:ptCount val="1"/>
                    <c:pt idx="0">
                      <c:v>PbS</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6"/>
              <c:tx>
                <c:strRef>
                  <c:f>'MX Structure Map'!$AI$55</c:f>
                  <c:strCache>
                    <c:ptCount val="1"/>
                    <c:pt idx="0">
                      <c:v>PbSe</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7"/>
              <c:tx>
                <c:strRef>
                  <c:f>'MX Structure Map'!$AI$56</c:f>
                  <c:strCache>
                    <c:ptCount val="1"/>
                    <c:pt idx="0">
                      <c:v>PbTe</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0"/>
            <c:showBubbleSize val="0"/>
            <c:showCatName val="1"/>
            <c:showSerName val="0"/>
            <c:showPercent val="0"/>
          </c:dLbls>
          <c:xVal>
            <c:numRef>
              <c:f>'MX Structure Map'!$AJ$49:$AJ$56</c:f>
              <c:numCache/>
            </c:numRef>
          </c:xVal>
          <c:yVal>
            <c:numRef>
              <c:f>'MX Structure Map'!$AK$49:$AK$56</c:f>
              <c:numCache/>
            </c:numRef>
          </c:yVal>
          <c:smooth val="0"/>
        </c:ser>
        <c:ser>
          <c:idx val="11"/>
          <c:order val="1"/>
          <c:tx>
            <c:v>C.N. (4,4)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3"/>
            <c:spPr>
              <a:solidFill>
                <a:srgbClr val="00FF00"/>
              </a:solidFill>
              <a:ln>
                <a:solidFill>
                  <a:srgbClr val="333333"/>
                </a:solidFill>
              </a:ln>
            </c:spPr>
          </c:marker>
          <c:dLbls>
            <c:dLbl>
              <c:idx val="0"/>
              <c:tx>
                <c:strRef>
                  <c:f>'MX Structure Map'!$AI$59</c:f>
                  <c:strCache>
                    <c:ptCount val="1"/>
                    <c:pt idx="0">
                      <c:v>PbO</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
              <c:tx>
                <c:strRef>
                  <c:f>'MX Structure Map'!$AI$60</c:f>
                  <c:strCache>
                    <c:ptCount val="1"/>
                    <c:pt idx="0">
                      <c:v>CuH</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numFmt formatCode="General" sourceLinked="1"/>
            <c:showLegendKey val="0"/>
            <c:showVal val="0"/>
            <c:showBubbleSize val="0"/>
            <c:showCatName val="1"/>
            <c:showSerName val="0"/>
            <c:showPercent val="0"/>
          </c:dLbls>
          <c:xVal>
            <c:numRef>
              <c:f>'MX Structure Map'!$AJ$59:$AJ$60</c:f>
              <c:numCache/>
            </c:numRef>
          </c:xVal>
          <c:yVal>
            <c:numRef>
              <c:f>'MX Structure Map'!$AK$59:$AK$60</c:f>
              <c:numCache/>
            </c:numRef>
          </c:yVal>
          <c:smooth val="0"/>
        </c:ser>
        <c:ser>
          <c:idx val="2"/>
          <c:order val="2"/>
          <c:tx>
            <c:v>Hydrides (6,6)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FF"/>
                </a:solidFill>
              </a:ln>
            </c:spPr>
          </c:marker>
          <c:dLbls>
            <c:dLbl>
              <c:idx val="0"/>
              <c:tx>
                <c:strRef>
                  <c:f>'MX Structure Map'!$AI$64</c:f>
                  <c:strCache>
                    <c:ptCount val="1"/>
                    <c:pt idx="0">
                      <c:v>LiH</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1"/>
              <c:tx>
                <c:strRef>
                  <c:f>'MX Structure Map'!$AI$65</c:f>
                  <c:strCache>
                    <c:ptCount val="1"/>
                    <c:pt idx="0">
                      <c:v>NaH</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2"/>
              <c:tx>
                <c:strRef>
                  <c:f>'MX Structure Map'!$AI$66</c:f>
                  <c:strCache>
                    <c:ptCount val="1"/>
                    <c:pt idx="0">
                      <c:v>KH</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3"/>
              <c:tx>
                <c:strRef>
                  <c:f>'MX Structure Map'!$AI$67</c:f>
                  <c:strCache>
                    <c:ptCount val="1"/>
                    <c:pt idx="0">
                      <c:v>RbH</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4"/>
              <c:tx>
                <c:strRef>
                  <c:f>'MX Structure Map'!$AI$68</c:f>
                  <c:strCache>
                    <c:ptCount val="1"/>
                    <c:pt idx="0">
                      <c:v>CsH</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1"/>
              <c:showSerName val="0"/>
              <c:showPercent val="0"/>
            </c:dLbl>
            <c:numFmt formatCode="General" sourceLinked="1"/>
            <c:spPr>
              <a:noFill/>
              <a:ln>
                <a:noFill/>
              </a:ln>
            </c:spPr>
            <c:txPr>
              <a:bodyPr vert="horz" rot="0" anchor="ctr"/>
              <a:lstStyle/>
              <a:p>
                <a:pPr algn="ctr">
                  <a:defRPr lang="en-US" cap="none" sz="1000" b="0" i="0" u="none" baseline="0">
                    <a:solidFill>
                      <a:srgbClr val="000000"/>
                    </a:solidFill>
                    <a:latin typeface="Arial"/>
                    <a:ea typeface="Arial"/>
                    <a:cs typeface="Arial"/>
                  </a:defRPr>
                </a:pPr>
              </a:p>
            </c:txPr>
            <c:showLegendKey val="0"/>
            <c:showVal val="0"/>
            <c:showBubbleSize val="0"/>
            <c:showCatName val="0"/>
            <c:showSerName val="1"/>
            <c:showPercent val="0"/>
          </c:dLbls>
          <c:xVal>
            <c:numRef>
              <c:f>'MX Structure Map'!$AJ$64:$AJ$68</c:f>
              <c:numCache/>
            </c:numRef>
          </c:xVal>
          <c:yVal>
            <c:numRef>
              <c:f>'MX Structure Map'!$AK$64:$AK$68</c:f>
              <c:numCache/>
            </c:numRef>
          </c:yVal>
          <c:smooth val="0"/>
        </c:ser>
        <c:ser>
          <c:idx val="9"/>
          <c:order val="3"/>
          <c:tx>
            <c:v>Your Compound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800000"/>
              </a:solidFill>
              <a:ln>
                <a:solidFill>
                  <a:srgbClr val="FFFF00"/>
                </a:solidFill>
              </a:ln>
            </c:spPr>
          </c:marker>
          <c:dLbls>
            <c:dLbl>
              <c:idx val="0"/>
              <c:layout>
                <c:manualLayout>
                  <c:x val="0"/>
                  <c:y val="0"/>
                </c:manualLayout>
              </c:layout>
              <c:tx>
                <c:strRef>
                  <c:f>'MX Structure Map'!$K$4</c:f>
                  <c:strCache>
                    <c:ptCount val="1"/>
                    <c:pt idx="0">
                      <c:v>TiO</c:v>
                    </c:pt>
                  </c:strCache>
                </c:strRef>
              </c:tx>
              <c:txPr>
                <a:bodyPr vert="horz" rot="0" anchor="ctr"/>
                <a:lstStyle/>
                <a:p>
                  <a:pPr algn="ctr">
                    <a:defRPr lang="en-US" cap="none" sz="975"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975" b="0" i="0" u="none" baseline="0">
                    <a:solidFill>
                      <a:srgbClr val="000000"/>
                    </a:solidFill>
                    <a:latin typeface="Arial"/>
                    <a:ea typeface="Arial"/>
                    <a:cs typeface="Arial"/>
                  </a:defRPr>
                </a:pPr>
              </a:p>
            </c:txPr>
            <c:showLegendKey val="0"/>
            <c:showVal val="1"/>
            <c:showBubbleSize val="0"/>
            <c:showCatName val="0"/>
            <c:showSerName val="0"/>
            <c:showPercent val="0"/>
          </c:dLbls>
          <c:xVal>
            <c:numRef>
              <c:f>'MX Structure Map'!$L$4</c:f>
              <c:numCache/>
            </c:numRef>
          </c:xVal>
          <c:yVal>
            <c:numRef>
              <c:f>'MX Structure Map'!$M$4</c:f>
              <c:numCache/>
            </c:numRef>
          </c:yVal>
          <c:smooth val="0"/>
        </c:ser>
        <c:ser>
          <c:idx val="0"/>
          <c:order val="4"/>
          <c:tx>
            <c:v>Separation Line</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'MX Structure Map'!$P$128:$P$132</c:f>
              <c:numCache/>
            </c:numRef>
          </c:xVal>
          <c:yVal>
            <c:numRef>
              <c:f>'MX Structure Map'!$Q$128:$Q$132</c:f>
              <c:numCache/>
            </c:numRef>
          </c:yVal>
          <c:smooth val="1"/>
        </c:ser>
        <c:axId val="47545913"/>
        <c:axId val="25260034"/>
      </c:scatterChart>
      <c:valAx>
        <c:axId val="47545913"/>
        <c:scaling>
          <c:orientation val="minMax"/>
          <c:min val="0"/>
        </c:scaling>
        <c:axPos val="b"/>
        <c:title>
          <c:tx>
            <c:rich>
              <a:bodyPr vert="horz" rot="0" anchor="ctr"/>
              <a:lstStyle/>
              <a:p>
                <a:pPr algn="ctr">
                  <a:defRPr/>
                </a:pPr>
                <a:r>
                  <a:rPr lang="en-US" cap="none" sz="1200" b="1" i="0" u="none" baseline="0">
                    <a:solidFill>
                      <a:srgbClr val="000000"/>
                    </a:solidFill>
                  </a:rPr>
                  <a:t>Dc</a:t>
                </a:r>
                <a:r>
                  <a:rPr lang="en-US" cap="none" sz="1275" b="1" i="0" u="none" baseline="0">
                    <a:solidFill>
                      <a:srgbClr val="000000"/>
                    </a:solidFill>
                  </a:rPr>
                  <a:t>
</a:t>
                </a:r>
                <a:r>
                  <a:rPr lang="en-US" cap="none" sz="1000" b="1" i="0" u="none" baseline="0">
                    <a:solidFill>
                      <a:srgbClr val="000000"/>
                    </a:solidFill>
                    <a:latin typeface="Arial"/>
                    <a:ea typeface="Arial"/>
                    <a:cs typeface="Arial"/>
                  </a:rPr>
                  <a:t>Increasing Ionicity </a:t>
                </a:r>
                <a:r>
                  <a:rPr lang="en-US" cap="none" sz="1000" b="1" i="0" u="none" baseline="0">
                    <a:solidFill>
                      <a:srgbClr val="000000"/>
                    </a:solidFill>
                  </a:rPr>
                  <a:t></a:t>
                </a:r>
              </a:p>
            </c:rich>
          </c:tx>
          <c:layout>
            <c:manualLayout>
              <c:xMode val="factor"/>
              <c:yMode val="factor"/>
              <c:x val="0.0135"/>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5260034"/>
        <c:crosses val="autoZero"/>
        <c:crossBetween val="midCat"/>
        <c:dispUnits/>
      </c:valAx>
      <c:valAx>
        <c:axId val="25260034"/>
        <c:scaling>
          <c:orientation val="minMax"/>
          <c:max val="6"/>
          <c:min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Decreasing Directionality </a:t>
                </a:r>
                <a:r>
                  <a:rPr lang="en-US" cap="none" sz="1000" b="1" i="0" u="none" baseline="0">
                    <a:solidFill>
                      <a:srgbClr val="000000"/>
                    </a:solidFill>
                  </a:rPr>
                  <a:t></a:t>
                </a:r>
                <a:r>
                  <a:rPr lang="en-US" cap="none" sz="1275"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Average Principal Quantum Number</a:t>
                </a:r>
              </a:p>
            </c:rich>
          </c:tx>
          <c:layout>
            <c:manualLayout>
              <c:xMode val="factor"/>
              <c:yMode val="factor"/>
              <c:x val="-0.01325"/>
              <c:y val="-0.033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47545913"/>
        <c:crosses val="autoZero"/>
        <c:crossBetween val="midCat"/>
        <c:dispUnits/>
      </c:valAx>
      <c:spPr>
        <a:solidFill>
          <a:srgbClr val="C0C0C0"/>
        </a:solidFill>
        <a:ln w="12700">
          <a:solidFill>
            <a:srgbClr val="808080"/>
          </a:solidFill>
        </a:ln>
      </c:spPr>
    </c:plotArea>
    <c:legend>
      <c:legendPos val="r"/>
      <c:legendEntry>
        <c:idx val="4"/>
        <c:delete val="1"/>
      </c:legendEntry>
      <c:layout>
        <c:manualLayout>
          <c:xMode val="edge"/>
          <c:yMode val="edge"/>
          <c:x val="0.76175"/>
          <c:y val="0.099"/>
          <c:w val="0.21475"/>
          <c:h val="0.153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Figure 1.  </a:t>
            </a:r>
            <a:r>
              <a:rPr lang="en-US" cap="none" sz="1100" b="1" i="0" u="none" baseline="0">
                <a:solidFill>
                  <a:srgbClr val="000000"/>
                </a:solidFill>
              </a:rPr>
              <a:t>D</a:t>
            </a:r>
            <a:r>
              <a:rPr lang="en-US" cap="none" sz="1100" b="1" i="1" u="none" baseline="0">
                <a:solidFill>
                  <a:srgbClr val="000000"/>
                </a:solidFill>
                <a:latin typeface="Arial"/>
                <a:ea typeface="Arial"/>
                <a:cs typeface="Arial"/>
              </a:rPr>
              <a:t>H</a:t>
            </a:r>
            <a:r>
              <a:rPr lang="en-US" cap="none" sz="1100" b="1" i="0" u="none" baseline="-25000">
                <a:solidFill>
                  <a:srgbClr val="000000"/>
                </a:solidFill>
                <a:latin typeface="Arial"/>
                <a:ea typeface="Arial"/>
                <a:cs typeface="Arial"/>
              </a:rPr>
              <a:t>sol </a:t>
            </a:r>
            <a:r>
              <a:rPr lang="en-US" cap="none" sz="1100" b="1" i="0" u="none" baseline="0">
                <a:solidFill>
                  <a:srgbClr val="000000"/>
                </a:solidFill>
                <a:latin typeface="Arial"/>
                <a:ea typeface="Arial"/>
                <a:cs typeface="Arial"/>
              </a:rPr>
              <a:t>vs. Difference in </a:t>
            </a:r>
            <a:r>
              <a:rPr lang="en-US" cap="none" sz="1100" b="1" i="0" u="none" baseline="0">
                <a:solidFill>
                  <a:srgbClr val="000000"/>
                </a:solidFill>
              </a:rPr>
              <a:t>D</a:t>
            </a:r>
            <a:r>
              <a:rPr lang="en-US" cap="none" sz="1100" b="1" i="1" u="none" baseline="0">
                <a:solidFill>
                  <a:srgbClr val="000000"/>
                </a:solidFill>
                <a:latin typeface="Arial"/>
                <a:ea typeface="Arial"/>
                <a:cs typeface="Arial"/>
              </a:rPr>
              <a:t>H</a:t>
            </a:r>
            <a:r>
              <a:rPr lang="en-US" cap="none" sz="1100" b="1" i="0" u="none" baseline="-25000">
                <a:solidFill>
                  <a:srgbClr val="000000"/>
                </a:solidFill>
                <a:latin typeface="Arial"/>
                <a:ea typeface="Arial"/>
                <a:cs typeface="Arial"/>
              </a:rPr>
              <a:t>hyd</a:t>
            </a:r>
            <a:r>
              <a:rPr lang="en-US" cap="none" sz="11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Experimental Results</a:t>
            </a:r>
          </a:p>
        </c:rich>
      </c:tx>
      <c:layout/>
      <c:spPr>
        <a:noFill/>
        <a:ln>
          <a:noFill/>
        </a:ln>
      </c:spPr>
    </c:title>
    <c:plotArea>
      <c:layout>
        <c:manualLayout>
          <c:xMode val="edge"/>
          <c:yMode val="edge"/>
          <c:x val="0.07375"/>
          <c:y val="0.1395"/>
          <c:w val="0.904"/>
          <c:h val="0.8185"/>
        </c:manualLayout>
      </c:layout>
      <c:scatterChart>
        <c:scatterStyle val="lineMarker"/>
        <c:varyColors val="0"/>
        <c:ser>
          <c:idx val="0"/>
          <c:order val="0"/>
          <c:tx>
            <c:v>Data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Pt>
            <c:idx val="0"/>
            <c:spPr>
              <a:ln w="3175">
                <a:noFill/>
              </a:ln>
            </c:spPr>
            <c:marker>
              <c:symbol val="circle"/>
              <c:size val="5"/>
              <c:spPr>
                <a:solidFill>
                  <a:srgbClr val="C0C0C0"/>
                </a:solidFill>
                <a:ln>
                  <a:solidFill>
                    <a:srgbClr val="000080"/>
                  </a:solidFill>
                </a:ln>
              </c:spPr>
            </c:marker>
          </c:dPt>
          <c:dPt>
            <c:idx val="1"/>
            <c:spPr>
              <a:ln w="3175">
                <a:noFill/>
              </a:ln>
            </c:spPr>
            <c:marker>
              <c:symbol val="circle"/>
              <c:size val="5"/>
              <c:spPr>
                <a:solidFill>
                  <a:srgbClr val="C0C0C0"/>
                </a:solidFill>
                <a:ln>
                  <a:solidFill>
                    <a:srgbClr val="000080"/>
                  </a:solidFill>
                </a:ln>
              </c:spPr>
            </c:marker>
          </c:dPt>
          <c:dPt>
            <c:idx val="2"/>
            <c:spPr>
              <a:ln w="3175">
                <a:noFill/>
              </a:ln>
            </c:spPr>
            <c:marker>
              <c:symbol val="circle"/>
              <c:size val="5"/>
              <c:spPr>
                <a:solidFill>
                  <a:srgbClr val="C0C0C0"/>
                </a:solidFill>
                <a:ln>
                  <a:solidFill>
                    <a:srgbClr val="000080"/>
                  </a:solidFill>
                </a:ln>
              </c:spPr>
            </c:marker>
          </c:dPt>
          <c:dPt>
            <c:idx val="3"/>
            <c:spPr>
              <a:ln w="3175">
                <a:noFill/>
              </a:ln>
            </c:spPr>
            <c:marker>
              <c:symbol val="circle"/>
              <c:size val="5"/>
              <c:spPr>
                <a:solidFill>
                  <a:srgbClr val="C0C0C0"/>
                </a:solidFill>
                <a:ln>
                  <a:solidFill>
                    <a:srgbClr val="000080"/>
                  </a:solidFill>
                </a:ln>
              </c:spPr>
            </c:marker>
          </c:dPt>
          <c:dPt>
            <c:idx val="4"/>
            <c:spPr>
              <a:ln w="3175">
                <a:noFill/>
              </a:ln>
            </c:spPr>
            <c:marker>
              <c:size val="5"/>
              <c:spPr>
                <a:solidFill>
                  <a:srgbClr val="C0C0C0"/>
                </a:solidFill>
                <a:ln>
                  <a:solidFill>
                    <a:srgbClr val="FF0000"/>
                  </a:solidFill>
                </a:ln>
              </c:spPr>
            </c:marker>
          </c:dPt>
          <c:dPt>
            <c:idx val="5"/>
            <c:spPr>
              <a:ln w="3175">
                <a:noFill/>
              </a:ln>
            </c:spPr>
            <c:marker>
              <c:size val="5"/>
              <c:spPr>
                <a:solidFill>
                  <a:srgbClr val="C0C0C0"/>
                </a:solidFill>
                <a:ln>
                  <a:solidFill>
                    <a:srgbClr val="FF0000"/>
                  </a:solidFill>
                </a:ln>
              </c:spPr>
            </c:marker>
          </c:dPt>
          <c:dPt>
            <c:idx val="6"/>
            <c:spPr>
              <a:ln w="3175">
                <a:noFill/>
              </a:ln>
            </c:spPr>
            <c:marker>
              <c:size val="5"/>
              <c:spPr>
                <a:solidFill>
                  <a:srgbClr val="C0C0C0"/>
                </a:solidFill>
                <a:ln>
                  <a:solidFill>
                    <a:srgbClr val="FF0000"/>
                  </a:solidFill>
                </a:ln>
              </c:spPr>
            </c:marker>
          </c:dPt>
          <c:dPt>
            <c:idx val="7"/>
            <c:spPr>
              <a:ln w="3175">
                <a:noFill/>
              </a:ln>
            </c:spPr>
            <c:marker>
              <c:size val="5"/>
              <c:spPr>
                <a:solidFill>
                  <a:srgbClr val="C0C0C0"/>
                </a:solidFill>
                <a:ln>
                  <a:solidFill>
                    <a:srgbClr val="FF0000"/>
                  </a:solidFill>
                </a:ln>
              </c:spPr>
            </c:marker>
          </c:dPt>
          <c:dPt>
            <c:idx val="8"/>
            <c:spPr>
              <a:ln w="3175">
                <a:noFill/>
              </a:ln>
            </c:spPr>
            <c:marker>
              <c:size val="5"/>
              <c:spPr>
                <a:solidFill>
                  <a:srgbClr val="C0C0C0"/>
                </a:solidFill>
                <a:ln>
                  <a:solidFill>
                    <a:srgbClr val="00FFFF"/>
                  </a:solidFill>
                </a:ln>
              </c:spPr>
            </c:marker>
          </c:dPt>
          <c:dPt>
            <c:idx val="9"/>
            <c:spPr>
              <a:ln w="3175">
                <a:noFill/>
              </a:ln>
            </c:spPr>
            <c:marker>
              <c:size val="5"/>
              <c:spPr>
                <a:solidFill>
                  <a:srgbClr val="C0C0C0"/>
                </a:solidFill>
                <a:ln>
                  <a:solidFill>
                    <a:srgbClr val="00FFFF"/>
                  </a:solidFill>
                </a:ln>
              </c:spPr>
            </c:marker>
          </c:dPt>
          <c:dPt>
            <c:idx val="10"/>
            <c:spPr>
              <a:ln w="3175">
                <a:noFill/>
              </a:ln>
            </c:spPr>
            <c:marker>
              <c:size val="5"/>
              <c:spPr>
                <a:solidFill>
                  <a:srgbClr val="C0C0C0"/>
                </a:solidFill>
                <a:ln>
                  <a:solidFill>
                    <a:srgbClr val="00FFFF"/>
                  </a:solidFill>
                </a:ln>
              </c:spPr>
            </c:marker>
          </c:dPt>
          <c:dPt>
            <c:idx val="11"/>
            <c:spPr>
              <a:ln w="3175">
                <a:noFill/>
              </a:ln>
            </c:spPr>
            <c:marker>
              <c:size val="5"/>
              <c:spPr>
                <a:solidFill>
                  <a:srgbClr val="C0C0C0"/>
                </a:solidFill>
                <a:ln>
                  <a:solidFill>
                    <a:srgbClr val="00FFFF"/>
                  </a:solidFill>
                </a:ln>
              </c:spPr>
            </c:marker>
          </c:dPt>
          <c:dPt>
            <c:idx val="16"/>
            <c:spPr>
              <a:ln w="3175">
                <a:noFill/>
              </a:ln>
            </c:spPr>
            <c:marker>
              <c:symbol val="circle"/>
              <c:size val="5"/>
              <c:spPr>
                <a:solidFill>
                  <a:srgbClr val="C0C0C0"/>
                </a:solidFill>
                <a:ln>
                  <a:solidFill>
                    <a:srgbClr val="FF00FF"/>
                  </a:solidFill>
                </a:ln>
              </c:spPr>
            </c:marker>
          </c:dPt>
          <c:dPt>
            <c:idx val="17"/>
            <c:spPr>
              <a:ln w="3175">
                <a:noFill/>
              </a:ln>
            </c:spPr>
            <c:marker>
              <c:symbol val="circle"/>
              <c:size val="5"/>
              <c:spPr>
                <a:solidFill>
                  <a:srgbClr val="C0C0C0"/>
                </a:solidFill>
                <a:ln>
                  <a:solidFill>
                    <a:srgbClr val="FF00FF"/>
                  </a:solidFill>
                </a:ln>
              </c:spPr>
            </c:marker>
          </c:dPt>
          <c:dPt>
            <c:idx val="18"/>
            <c:spPr>
              <a:ln w="3175">
                <a:noFill/>
              </a:ln>
            </c:spPr>
            <c:marker>
              <c:size val="5"/>
              <c:spPr>
                <a:solidFill>
                  <a:srgbClr val="C0C0C0"/>
                </a:solidFill>
                <a:ln>
                  <a:solidFill>
                    <a:srgbClr val="FF00FF"/>
                  </a:solidFill>
                </a:ln>
              </c:spPr>
            </c:marker>
          </c:dPt>
          <c:dPt>
            <c:idx val="19"/>
            <c:spPr>
              <a:ln w="3175">
                <a:noFill/>
              </a:ln>
            </c:spPr>
            <c:marker>
              <c:size val="5"/>
              <c:spPr>
                <a:solidFill>
                  <a:srgbClr val="C0C0C0"/>
                </a:solidFill>
                <a:ln>
                  <a:solidFill>
                    <a:srgbClr val="FF00FF"/>
                  </a:solidFill>
                </a:ln>
              </c:spPr>
            </c:marker>
          </c:dPt>
          <c:dLbls>
            <c:dLbl>
              <c:idx val="0"/>
              <c:tx>
                <c:strRef>
                  <c:f>Discussion!$B$260</c:f>
                  <c:strCache>
                    <c:ptCount val="1"/>
                    <c:pt idx="0">
                      <c:v>LiF</c:v>
                    </c:pt>
                  </c:strCache>
                </c:strRef>
              </c:tx>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1"/>
              <c:layout>
                <c:manualLayout>
                  <c:x val="0"/>
                  <c:y val="0"/>
                </c:manualLayout>
              </c:layout>
              <c:tx>
                <c:strRef>
                  <c:f>Discussion!$B$261</c:f>
                  <c:strCache>
                    <c:ptCount val="1"/>
                    <c:pt idx="0">
                      <c:v>LiCl</c:v>
                    </c:pt>
                  </c:strCache>
                </c:strRef>
              </c:tx>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2"/>
              <c:layout>
                <c:manualLayout>
                  <c:x val="0"/>
                  <c:y val="0"/>
                </c:manualLayout>
              </c:layout>
              <c:tx>
                <c:strRef>
                  <c:f>Discussion!$B$262</c:f>
                  <c:strCache>
                    <c:ptCount val="1"/>
                    <c:pt idx="0">
                      <c:v>LiBr</c:v>
                    </c:pt>
                  </c:strCache>
                </c:strRef>
              </c:tx>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3"/>
              <c:layout>
                <c:manualLayout>
                  <c:x val="0"/>
                  <c:y val="0"/>
                </c:manualLayout>
              </c:layout>
              <c:tx>
                <c:strRef>
                  <c:f>Discussion!$B$263</c:f>
                  <c:strCache>
                    <c:ptCount val="1"/>
                    <c:pt idx="0">
                      <c:v>LiI</c:v>
                    </c:pt>
                  </c:strCache>
                </c:strRef>
              </c:tx>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4"/>
              <c:layout>
                <c:manualLayout>
                  <c:x val="0"/>
                  <c:y val="0"/>
                </c:manualLayout>
              </c:layout>
              <c:tx>
                <c:strRef>
                  <c:f>Discussion!$B$264</c:f>
                  <c:strCache>
                    <c:ptCount val="1"/>
                    <c:pt idx="0">
                      <c:v>NaF</c:v>
                    </c:pt>
                  </c:strCache>
                </c:strRef>
              </c:tx>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5"/>
              <c:tx>
                <c:strRef>
                  <c:f>Discussion!$B$265</c:f>
                  <c:strCache>
                    <c:ptCount val="1"/>
                    <c:pt idx="0">
                      <c:v>NaCl</c:v>
                    </c:pt>
                  </c:strCache>
                </c:strRef>
              </c:tx>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6"/>
              <c:tx>
                <c:strRef>
                  <c:f>Discussion!$B$266</c:f>
                  <c:strCache>
                    <c:ptCount val="1"/>
                    <c:pt idx="0">
                      <c:v>NaBr</c:v>
                    </c:pt>
                  </c:strCache>
                </c:strRef>
              </c:tx>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7"/>
              <c:tx>
                <c:strRef>
                  <c:f>Discussion!$B$267</c:f>
                  <c:strCache>
                    <c:ptCount val="1"/>
                    <c:pt idx="0">
                      <c:v>NaI</c:v>
                    </c:pt>
                  </c:strCache>
                </c:strRef>
              </c:tx>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8"/>
              <c:layout>
                <c:manualLayout>
                  <c:x val="0"/>
                  <c:y val="0"/>
                </c:manualLayout>
              </c:layout>
              <c:tx>
                <c:strRef>
                  <c:f>Discussion!$B$268</c:f>
                  <c:strCache>
                    <c:ptCount val="1"/>
                    <c:pt idx="0">
                      <c:v>KF</c:v>
                    </c:pt>
                  </c:strCache>
                </c:strRef>
              </c:tx>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9"/>
              <c:layout>
                <c:manualLayout>
                  <c:x val="0"/>
                  <c:y val="0"/>
                </c:manualLayout>
              </c:layout>
              <c:tx>
                <c:strRef>
                  <c:f>Discussion!$B$269</c:f>
                  <c:strCache>
                    <c:ptCount val="1"/>
                    <c:pt idx="0">
                      <c:v>KCl</c:v>
                    </c:pt>
                  </c:strCache>
                </c:strRef>
              </c:tx>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10"/>
              <c:layout>
                <c:manualLayout>
                  <c:x val="0"/>
                  <c:y val="0"/>
                </c:manualLayout>
              </c:layout>
              <c:tx>
                <c:strRef>
                  <c:f>Discussion!$B$270</c:f>
                  <c:strCache>
                    <c:ptCount val="1"/>
                    <c:pt idx="0">
                      <c:v>KBr</c:v>
                    </c:pt>
                  </c:strCache>
                </c:strRef>
              </c:tx>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11"/>
              <c:layout>
                <c:manualLayout>
                  <c:x val="0"/>
                  <c:y val="0"/>
                </c:manualLayout>
              </c:layout>
              <c:tx>
                <c:strRef>
                  <c:f>Discussion!$B$271</c:f>
                  <c:strCache>
                    <c:ptCount val="1"/>
                    <c:pt idx="0">
                      <c:v>KI</c:v>
                    </c:pt>
                  </c:strCache>
                </c:strRef>
              </c:tx>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12"/>
              <c:layout>
                <c:manualLayout>
                  <c:x val="0"/>
                  <c:y val="0"/>
                </c:manualLayout>
              </c:layout>
              <c:tx>
                <c:strRef>
                  <c:f>Discussion!$B$272</c:f>
                  <c:strCache>
                    <c:ptCount val="1"/>
                    <c:pt idx="0">
                      <c:v>RbF</c:v>
                    </c:pt>
                  </c:strCache>
                </c:strRef>
              </c:tx>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13"/>
              <c:layout>
                <c:manualLayout>
                  <c:x val="0"/>
                  <c:y val="0"/>
                </c:manualLayout>
              </c:layout>
              <c:tx>
                <c:strRef>
                  <c:f>Discussion!$B$273</c:f>
                  <c:strCache>
                    <c:ptCount val="1"/>
                    <c:pt idx="0">
                      <c:v>RbCl</c:v>
                    </c:pt>
                  </c:strCache>
                </c:strRef>
              </c:tx>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14"/>
              <c:layout>
                <c:manualLayout>
                  <c:x val="0"/>
                  <c:y val="0"/>
                </c:manualLayout>
              </c:layout>
              <c:tx>
                <c:strRef>
                  <c:f>Discussion!$B$274</c:f>
                  <c:strCache>
                    <c:ptCount val="1"/>
                    <c:pt idx="0">
                      <c:v>RbBr</c:v>
                    </c:pt>
                  </c:strCache>
                </c:strRef>
              </c:tx>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15"/>
              <c:layout>
                <c:manualLayout>
                  <c:x val="0"/>
                  <c:y val="0"/>
                </c:manualLayout>
              </c:layout>
              <c:tx>
                <c:strRef>
                  <c:f>Discussion!$B$275</c:f>
                  <c:strCache>
                    <c:ptCount val="1"/>
                    <c:pt idx="0">
                      <c:v>RbI</c:v>
                    </c:pt>
                  </c:strCache>
                </c:strRef>
              </c:tx>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16"/>
              <c:layout>
                <c:manualLayout>
                  <c:x val="0"/>
                  <c:y val="0"/>
                </c:manualLayout>
              </c:layout>
              <c:tx>
                <c:strRef>
                  <c:f>Discussion!$B$276</c:f>
                  <c:strCache>
                    <c:ptCount val="1"/>
                    <c:pt idx="0">
                      <c:v>CsF</c:v>
                    </c:pt>
                  </c:strCache>
                </c:strRef>
              </c:tx>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17"/>
              <c:layout>
                <c:manualLayout>
                  <c:x val="0"/>
                  <c:y val="0"/>
                </c:manualLayout>
              </c:layout>
              <c:tx>
                <c:strRef>
                  <c:f>Discussion!$B$277</c:f>
                  <c:strCache>
                    <c:ptCount val="1"/>
                    <c:pt idx="0">
                      <c:v>CsCl</c:v>
                    </c:pt>
                  </c:strCache>
                </c:strRef>
              </c:tx>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18"/>
              <c:layout>
                <c:manualLayout>
                  <c:x val="0"/>
                  <c:y val="0"/>
                </c:manualLayout>
              </c:layout>
              <c:tx>
                <c:strRef>
                  <c:f>Discussion!$B$278</c:f>
                  <c:strCache>
                    <c:ptCount val="1"/>
                    <c:pt idx="0">
                      <c:v>CsBr</c:v>
                    </c:pt>
                  </c:strCache>
                </c:strRef>
              </c:tx>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19"/>
              <c:layout>
                <c:manualLayout>
                  <c:x val="0"/>
                  <c:y val="0"/>
                </c:manualLayout>
              </c:layout>
              <c:tx>
                <c:strRef>
                  <c:f>Discussion!$B$279</c:f>
                  <c:strCache>
                    <c:ptCount val="1"/>
                    <c:pt idx="0">
                      <c:v>CsI</c:v>
                    </c:pt>
                  </c:strCache>
                </c:strRef>
              </c:tx>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20"/>
              <c:delete val="1"/>
            </c:dLbl>
            <c:dLbl>
              <c:idx val="21"/>
              <c:delete val="1"/>
            </c:dLbl>
            <c:dLbl>
              <c:idx val="22"/>
              <c:delete val="1"/>
            </c:dLbl>
            <c:dLbl>
              <c:idx val="23"/>
              <c:delete val="1"/>
            </c:dLbl>
            <c:numFmt formatCode="General" sourceLinked="1"/>
            <c:spPr>
              <a:noFill/>
              <a:ln>
                <a:noFill/>
              </a:ln>
            </c:spPr>
            <c:showLegendKey val="0"/>
            <c:showVal val="0"/>
            <c:showBubbleSize val="0"/>
            <c:showCatName val="0"/>
            <c:showSerName val="1"/>
            <c:showPercent val="0"/>
          </c:dLbls>
          <c:xVal>
            <c:numRef>
              <c:f>Discussion!$G$205:$G$224</c:f>
              <c:numCache/>
            </c:numRef>
          </c:xVal>
          <c:yVal>
            <c:numRef>
              <c:f>Discussion!$B$155:$B$174</c:f>
              <c:numCache/>
            </c:numRef>
          </c:yVal>
          <c:smooth val="0"/>
        </c:ser>
        <c:ser>
          <c:idx val="1"/>
          <c:order val="1"/>
          <c:tx>
            <c:v>Lines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Discussion!$J$222:$J$224</c:f>
              <c:numCache/>
            </c:numRef>
          </c:xVal>
          <c:yVal>
            <c:numRef>
              <c:f>Discussion!$K$222:$K$224</c:f>
              <c:numCache/>
            </c:numRef>
          </c:yVal>
          <c:smooth val="0"/>
        </c:ser>
        <c:axId val="26013715"/>
        <c:axId val="32796844"/>
      </c:scatterChart>
      <c:valAx>
        <c:axId val="26013715"/>
        <c:scaling>
          <c:orientation val="minMax"/>
        </c:scaling>
        <c:axPos val="b"/>
        <c:title>
          <c:tx>
            <c:rich>
              <a:bodyPr vert="horz" rot="0" anchor="ctr"/>
              <a:lstStyle/>
              <a:p>
                <a:pPr algn="ctr">
                  <a:defRPr/>
                </a:pPr>
                <a:r>
                  <a:rPr lang="en-US" cap="none" sz="925" b="1" i="0" u="none" baseline="0">
                    <a:solidFill>
                      <a:srgbClr val="000000"/>
                    </a:solidFill>
                    <a:latin typeface="Arial"/>
                    <a:ea typeface="Arial"/>
                    <a:cs typeface="Arial"/>
                  </a:rPr>
                  <a:t>Difference in </a:t>
                </a:r>
                <a:r>
                  <a:rPr lang="en-US" cap="none" sz="925" b="1" i="0" u="none" baseline="0">
                    <a:solidFill>
                      <a:srgbClr val="000000"/>
                    </a:solidFill>
                  </a:rPr>
                  <a:t>D</a:t>
                </a:r>
                <a:r>
                  <a:rPr lang="en-US" cap="none" sz="925" b="1" i="1" u="none" baseline="0">
                    <a:solidFill>
                      <a:srgbClr val="000000"/>
                    </a:solidFill>
                    <a:latin typeface="Arial"/>
                    <a:ea typeface="Arial"/>
                    <a:cs typeface="Arial"/>
                  </a:rPr>
                  <a:t>H</a:t>
                </a:r>
                <a:r>
                  <a:rPr lang="en-US" cap="none" sz="925" b="1" i="0" u="none" baseline="-25000">
                    <a:solidFill>
                      <a:srgbClr val="000000"/>
                    </a:solidFill>
                    <a:latin typeface="Arial"/>
                    <a:ea typeface="Arial"/>
                    <a:cs typeface="Arial"/>
                  </a:rPr>
                  <a:t>hyd</a:t>
                </a:r>
                <a:r>
                  <a:rPr lang="en-US" cap="none" sz="925" b="1" i="0" u="none" baseline="0">
                    <a:solidFill>
                      <a:srgbClr val="000000"/>
                    </a:solidFill>
                    <a:latin typeface="Arial"/>
                    <a:ea typeface="Arial"/>
                    <a:cs typeface="Arial"/>
                  </a:rPr>
                  <a:t> between anion and cation / (kJ/mol)</a:t>
                </a:r>
              </a:p>
            </c:rich>
          </c:tx>
          <c:layout>
            <c:manualLayout>
              <c:xMode val="factor"/>
              <c:yMode val="factor"/>
              <c:x val="0.0035"/>
              <c:y val="0.004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2796844"/>
        <c:crossesAt val="-400"/>
        <c:crossBetween val="midCat"/>
        <c:dispUnits/>
      </c:valAx>
      <c:valAx>
        <c:axId val="32796844"/>
        <c:scaling>
          <c:orientation val="minMax"/>
          <c:max val="40"/>
          <c:min val="-65"/>
        </c:scaling>
        <c:axPos val="l"/>
        <c:title>
          <c:tx>
            <c:rich>
              <a:bodyPr vert="horz" rot="-5400000" anchor="ctr"/>
              <a:lstStyle/>
              <a:p>
                <a:pPr algn="ctr">
                  <a:defRPr/>
                </a:pPr>
                <a:r>
                  <a:rPr lang="en-US" cap="none" sz="925" b="1" i="0" u="none" baseline="0">
                    <a:solidFill>
                      <a:srgbClr val="000000"/>
                    </a:solidFill>
                    <a:latin typeface="Arial"/>
                    <a:ea typeface="Arial"/>
                    <a:cs typeface="Arial"/>
                  </a:rPr>
                  <a:t>Enthalpy of solution / (kJ/mol)</a:t>
                </a:r>
              </a:p>
            </c:rich>
          </c:tx>
          <c:layout>
            <c:manualLayout>
              <c:xMode val="factor"/>
              <c:yMode val="factor"/>
              <c:x val="-0.0025"/>
              <c:y val="-0.006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6013715"/>
        <c:crossesAt val="-400"/>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Figure 2.  </a:t>
            </a:r>
            <a:r>
              <a:rPr lang="en-US" cap="none" sz="1100" b="1" i="0" u="none" baseline="0">
                <a:solidFill>
                  <a:srgbClr val="000000"/>
                </a:solidFill>
              </a:rPr>
              <a:t>D</a:t>
            </a:r>
            <a:r>
              <a:rPr lang="en-US" cap="none" sz="1100" b="1" i="1" u="none" baseline="0">
                <a:solidFill>
                  <a:srgbClr val="000000"/>
                </a:solidFill>
                <a:latin typeface="Arial"/>
                <a:ea typeface="Arial"/>
                <a:cs typeface="Arial"/>
              </a:rPr>
              <a:t>H</a:t>
            </a:r>
            <a:r>
              <a:rPr lang="en-US" cap="none" sz="1100" b="1" i="0" u="none" baseline="-25000">
                <a:solidFill>
                  <a:srgbClr val="000000"/>
                </a:solidFill>
                <a:latin typeface="Arial"/>
                <a:ea typeface="Arial"/>
                <a:cs typeface="Arial"/>
              </a:rPr>
              <a:t>sol </a:t>
            </a:r>
            <a:r>
              <a:rPr lang="en-US" cap="none" sz="1100" b="1" i="0" u="none" baseline="0">
                <a:solidFill>
                  <a:srgbClr val="000000"/>
                </a:solidFill>
                <a:latin typeface="Arial"/>
                <a:ea typeface="Arial"/>
                <a:cs typeface="Arial"/>
              </a:rPr>
              <a:t>vs. Difference in </a:t>
            </a:r>
            <a:r>
              <a:rPr lang="en-US" cap="none" sz="1100" b="1" i="0" u="none" baseline="0">
                <a:solidFill>
                  <a:srgbClr val="000000"/>
                </a:solidFill>
              </a:rPr>
              <a:t>D</a:t>
            </a:r>
            <a:r>
              <a:rPr lang="en-US" cap="none" sz="1100" b="1" i="1" u="none" baseline="0">
                <a:solidFill>
                  <a:srgbClr val="000000"/>
                </a:solidFill>
                <a:latin typeface="Arial"/>
                <a:ea typeface="Arial"/>
                <a:cs typeface="Arial"/>
              </a:rPr>
              <a:t>H</a:t>
            </a:r>
            <a:r>
              <a:rPr lang="en-US" cap="none" sz="1100" b="1" i="0" u="none" baseline="-25000">
                <a:solidFill>
                  <a:srgbClr val="000000"/>
                </a:solidFill>
                <a:latin typeface="Arial"/>
                <a:ea typeface="Arial"/>
                <a:cs typeface="Arial"/>
              </a:rPr>
              <a:t>hyd</a:t>
            </a:r>
            <a:r>
              <a:rPr lang="en-US" cap="none" sz="11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Calculated with Lattice Energy Worksheet</a:t>
            </a:r>
          </a:p>
        </c:rich>
      </c:tx>
      <c:layout/>
      <c:spPr>
        <a:noFill/>
        <a:ln>
          <a:noFill/>
        </a:ln>
      </c:spPr>
    </c:title>
    <c:plotArea>
      <c:layout>
        <c:manualLayout>
          <c:xMode val="edge"/>
          <c:yMode val="edge"/>
          <c:x val="0.0785"/>
          <c:y val="0.1395"/>
          <c:w val="0.901"/>
          <c:h val="0.81675"/>
        </c:manualLayout>
      </c:layout>
      <c:scatterChart>
        <c:scatterStyle val="lineMarker"/>
        <c:varyColors val="0"/>
        <c:ser>
          <c:idx val="0"/>
          <c:order val="0"/>
          <c:tx>
            <c:v>Data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Pt>
            <c:idx val="0"/>
            <c:spPr>
              <a:ln w="3175">
                <a:noFill/>
              </a:ln>
            </c:spPr>
            <c:marker>
              <c:symbol val="circle"/>
              <c:size val="5"/>
              <c:spPr>
                <a:solidFill>
                  <a:srgbClr val="C0C0C0"/>
                </a:solidFill>
                <a:ln>
                  <a:solidFill>
                    <a:srgbClr val="000080"/>
                  </a:solidFill>
                </a:ln>
              </c:spPr>
            </c:marker>
          </c:dPt>
          <c:dPt>
            <c:idx val="1"/>
            <c:spPr>
              <a:ln w="3175">
                <a:noFill/>
              </a:ln>
            </c:spPr>
            <c:marker>
              <c:symbol val="circle"/>
              <c:size val="5"/>
              <c:spPr>
                <a:solidFill>
                  <a:srgbClr val="C0C0C0"/>
                </a:solidFill>
                <a:ln>
                  <a:solidFill>
                    <a:srgbClr val="000080"/>
                  </a:solidFill>
                </a:ln>
              </c:spPr>
            </c:marker>
          </c:dPt>
          <c:dPt>
            <c:idx val="2"/>
            <c:spPr>
              <a:ln w="3175">
                <a:noFill/>
              </a:ln>
            </c:spPr>
            <c:marker>
              <c:symbol val="circle"/>
              <c:size val="5"/>
              <c:spPr>
                <a:solidFill>
                  <a:srgbClr val="C0C0C0"/>
                </a:solidFill>
                <a:ln>
                  <a:solidFill>
                    <a:srgbClr val="000080"/>
                  </a:solidFill>
                </a:ln>
              </c:spPr>
            </c:marker>
          </c:dPt>
          <c:dPt>
            <c:idx val="3"/>
            <c:spPr>
              <a:ln w="3175">
                <a:noFill/>
              </a:ln>
            </c:spPr>
            <c:marker>
              <c:symbol val="circle"/>
              <c:size val="5"/>
              <c:spPr>
                <a:solidFill>
                  <a:srgbClr val="C0C0C0"/>
                </a:solidFill>
                <a:ln>
                  <a:solidFill>
                    <a:srgbClr val="000080"/>
                  </a:solidFill>
                </a:ln>
              </c:spPr>
            </c:marker>
          </c:dPt>
          <c:dPt>
            <c:idx val="4"/>
            <c:spPr>
              <a:ln w="3175">
                <a:noFill/>
              </a:ln>
            </c:spPr>
            <c:marker>
              <c:size val="5"/>
              <c:spPr>
                <a:solidFill>
                  <a:srgbClr val="C0C0C0"/>
                </a:solidFill>
                <a:ln>
                  <a:solidFill>
                    <a:srgbClr val="FF0000"/>
                  </a:solidFill>
                </a:ln>
              </c:spPr>
            </c:marker>
          </c:dPt>
          <c:dPt>
            <c:idx val="5"/>
            <c:spPr>
              <a:ln w="3175">
                <a:noFill/>
              </a:ln>
            </c:spPr>
            <c:marker>
              <c:size val="5"/>
              <c:spPr>
                <a:solidFill>
                  <a:srgbClr val="C0C0C0"/>
                </a:solidFill>
                <a:ln>
                  <a:solidFill>
                    <a:srgbClr val="FF0000"/>
                  </a:solidFill>
                </a:ln>
              </c:spPr>
            </c:marker>
          </c:dPt>
          <c:dPt>
            <c:idx val="6"/>
            <c:spPr>
              <a:ln w="3175">
                <a:noFill/>
              </a:ln>
            </c:spPr>
            <c:marker>
              <c:size val="5"/>
              <c:spPr>
                <a:solidFill>
                  <a:srgbClr val="C0C0C0"/>
                </a:solidFill>
                <a:ln>
                  <a:solidFill>
                    <a:srgbClr val="FF0000"/>
                  </a:solidFill>
                </a:ln>
              </c:spPr>
            </c:marker>
          </c:dPt>
          <c:dPt>
            <c:idx val="7"/>
            <c:spPr>
              <a:ln w="3175">
                <a:noFill/>
              </a:ln>
            </c:spPr>
            <c:marker>
              <c:size val="5"/>
              <c:spPr>
                <a:solidFill>
                  <a:srgbClr val="C0C0C0"/>
                </a:solidFill>
                <a:ln>
                  <a:solidFill>
                    <a:srgbClr val="FF0000"/>
                  </a:solidFill>
                </a:ln>
              </c:spPr>
            </c:marker>
          </c:dPt>
          <c:dPt>
            <c:idx val="8"/>
            <c:spPr>
              <a:ln w="3175">
                <a:noFill/>
              </a:ln>
            </c:spPr>
            <c:marker>
              <c:size val="5"/>
              <c:spPr>
                <a:solidFill>
                  <a:srgbClr val="C0C0C0"/>
                </a:solidFill>
                <a:ln>
                  <a:solidFill>
                    <a:srgbClr val="00FFFF"/>
                  </a:solidFill>
                </a:ln>
              </c:spPr>
            </c:marker>
          </c:dPt>
          <c:dPt>
            <c:idx val="9"/>
            <c:spPr>
              <a:ln w="3175">
                <a:noFill/>
              </a:ln>
            </c:spPr>
            <c:marker>
              <c:size val="5"/>
              <c:spPr>
                <a:solidFill>
                  <a:srgbClr val="C0C0C0"/>
                </a:solidFill>
                <a:ln>
                  <a:solidFill>
                    <a:srgbClr val="00FFFF"/>
                  </a:solidFill>
                </a:ln>
              </c:spPr>
            </c:marker>
          </c:dPt>
          <c:dPt>
            <c:idx val="10"/>
            <c:spPr>
              <a:ln w="3175">
                <a:noFill/>
              </a:ln>
            </c:spPr>
            <c:marker>
              <c:size val="5"/>
              <c:spPr>
                <a:solidFill>
                  <a:srgbClr val="C0C0C0"/>
                </a:solidFill>
                <a:ln>
                  <a:solidFill>
                    <a:srgbClr val="00FFFF"/>
                  </a:solidFill>
                </a:ln>
              </c:spPr>
            </c:marker>
          </c:dPt>
          <c:dPt>
            <c:idx val="11"/>
            <c:spPr>
              <a:ln w="3175">
                <a:noFill/>
              </a:ln>
            </c:spPr>
            <c:marker>
              <c:size val="5"/>
              <c:spPr>
                <a:solidFill>
                  <a:srgbClr val="C0C0C0"/>
                </a:solidFill>
                <a:ln>
                  <a:solidFill>
                    <a:srgbClr val="00FFFF"/>
                  </a:solidFill>
                </a:ln>
              </c:spPr>
            </c:marker>
          </c:dPt>
          <c:dPt>
            <c:idx val="16"/>
            <c:spPr>
              <a:ln w="3175">
                <a:noFill/>
              </a:ln>
            </c:spPr>
            <c:marker>
              <c:symbol val="circle"/>
              <c:size val="5"/>
              <c:spPr>
                <a:solidFill>
                  <a:srgbClr val="C0C0C0"/>
                </a:solidFill>
                <a:ln>
                  <a:solidFill>
                    <a:srgbClr val="FF00FF"/>
                  </a:solidFill>
                </a:ln>
              </c:spPr>
            </c:marker>
          </c:dPt>
          <c:dPt>
            <c:idx val="17"/>
            <c:spPr>
              <a:ln w="3175">
                <a:noFill/>
              </a:ln>
            </c:spPr>
            <c:marker>
              <c:symbol val="circle"/>
              <c:size val="5"/>
              <c:spPr>
                <a:solidFill>
                  <a:srgbClr val="C0C0C0"/>
                </a:solidFill>
                <a:ln>
                  <a:solidFill>
                    <a:srgbClr val="FF00FF"/>
                  </a:solidFill>
                </a:ln>
              </c:spPr>
            </c:marker>
          </c:dPt>
          <c:dPt>
            <c:idx val="18"/>
            <c:spPr>
              <a:ln w="3175">
                <a:noFill/>
              </a:ln>
            </c:spPr>
            <c:marker>
              <c:size val="5"/>
              <c:spPr>
                <a:solidFill>
                  <a:srgbClr val="C0C0C0"/>
                </a:solidFill>
                <a:ln>
                  <a:solidFill>
                    <a:srgbClr val="FF00FF"/>
                  </a:solidFill>
                </a:ln>
              </c:spPr>
            </c:marker>
          </c:dPt>
          <c:dPt>
            <c:idx val="19"/>
            <c:spPr>
              <a:ln w="3175">
                <a:noFill/>
              </a:ln>
            </c:spPr>
            <c:marker>
              <c:size val="5"/>
              <c:spPr>
                <a:solidFill>
                  <a:srgbClr val="C0C0C0"/>
                </a:solidFill>
                <a:ln>
                  <a:solidFill>
                    <a:srgbClr val="FF00FF"/>
                  </a:solidFill>
                </a:ln>
              </c:spPr>
            </c:marker>
          </c:dPt>
          <c:dLbls>
            <c:dLbl>
              <c:idx val="0"/>
              <c:tx>
                <c:strRef>
                  <c:f>Discussion!$B$260</c:f>
                  <c:strCache>
                    <c:ptCount val="1"/>
                    <c:pt idx="0">
                      <c:v>LiF</c:v>
                    </c:pt>
                  </c:strCache>
                </c:strRef>
              </c:tx>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1"/>
              <c:layout>
                <c:manualLayout>
                  <c:x val="0"/>
                  <c:y val="0"/>
                </c:manualLayout>
              </c:layout>
              <c:tx>
                <c:strRef>
                  <c:f>Discussion!$B$261</c:f>
                  <c:strCache>
                    <c:ptCount val="1"/>
                    <c:pt idx="0">
                      <c:v>LiCl</c:v>
                    </c:pt>
                  </c:strCache>
                </c:strRef>
              </c:tx>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2"/>
              <c:layout>
                <c:manualLayout>
                  <c:x val="0"/>
                  <c:y val="0"/>
                </c:manualLayout>
              </c:layout>
              <c:tx>
                <c:strRef>
                  <c:f>Discussion!$B$262</c:f>
                  <c:strCache>
                    <c:ptCount val="1"/>
                    <c:pt idx="0">
                      <c:v>LiBr</c:v>
                    </c:pt>
                  </c:strCache>
                </c:strRef>
              </c:tx>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3"/>
              <c:layout>
                <c:manualLayout>
                  <c:x val="0"/>
                  <c:y val="0"/>
                </c:manualLayout>
              </c:layout>
              <c:tx>
                <c:strRef>
                  <c:f>Discussion!$B$263</c:f>
                  <c:strCache>
                    <c:ptCount val="1"/>
                    <c:pt idx="0">
                      <c:v>LiI</c:v>
                    </c:pt>
                  </c:strCache>
                </c:strRef>
              </c:tx>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4"/>
              <c:layout>
                <c:manualLayout>
                  <c:x val="0"/>
                  <c:y val="0"/>
                </c:manualLayout>
              </c:layout>
              <c:tx>
                <c:strRef>
                  <c:f>Discussion!$B$264</c:f>
                  <c:strCache>
                    <c:ptCount val="1"/>
                    <c:pt idx="0">
                      <c:v>NaF</c:v>
                    </c:pt>
                  </c:strCache>
                </c:strRef>
              </c:tx>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5"/>
              <c:tx>
                <c:strRef>
                  <c:f>Discussion!$B$265</c:f>
                  <c:strCache>
                    <c:ptCount val="1"/>
                    <c:pt idx="0">
                      <c:v>NaCl</c:v>
                    </c:pt>
                  </c:strCache>
                </c:strRef>
              </c:tx>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6"/>
              <c:tx>
                <c:strRef>
                  <c:f>Discussion!$B$266</c:f>
                  <c:strCache>
                    <c:ptCount val="1"/>
                    <c:pt idx="0">
                      <c:v>NaBr</c:v>
                    </c:pt>
                  </c:strCache>
                </c:strRef>
              </c:tx>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7"/>
              <c:tx>
                <c:strRef>
                  <c:f>Discussion!$B$267</c:f>
                  <c:strCache>
                    <c:ptCount val="1"/>
                    <c:pt idx="0">
                      <c:v>NaI</c:v>
                    </c:pt>
                  </c:strCache>
                </c:strRef>
              </c:tx>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8"/>
              <c:layout>
                <c:manualLayout>
                  <c:x val="0"/>
                  <c:y val="0"/>
                </c:manualLayout>
              </c:layout>
              <c:tx>
                <c:strRef>
                  <c:f>Discussion!$B$268</c:f>
                  <c:strCache>
                    <c:ptCount val="1"/>
                    <c:pt idx="0">
                      <c:v>KF</c:v>
                    </c:pt>
                  </c:strCache>
                </c:strRef>
              </c:tx>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9"/>
              <c:layout>
                <c:manualLayout>
                  <c:x val="0"/>
                  <c:y val="0"/>
                </c:manualLayout>
              </c:layout>
              <c:tx>
                <c:strRef>
                  <c:f>Discussion!$B$269</c:f>
                  <c:strCache>
                    <c:ptCount val="1"/>
                    <c:pt idx="0">
                      <c:v>KCl</c:v>
                    </c:pt>
                  </c:strCache>
                </c:strRef>
              </c:tx>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10"/>
              <c:layout>
                <c:manualLayout>
                  <c:x val="0"/>
                  <c:y val="0"/>
                </c:manualLayout>
              </c:layout>
              <c:tx>
                <c:strRef>
                  <c:f>Discussion!$B$270</c:f>
                  <c:strCache>
                    <c:ptCount val="1"/>
                    <c:pt idx="0">
                      <c:v>KBr</c:v>
                    </c:pt>
                  </c:strCache>
                </c:strRef>
              </c:tx>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11"/>
              <c:tx>
                <c:strRef>
                  <c:f>Discussion!$B$271</c:f>
                  <c:strCache>
                    <c:ptCount val="1"/>
                    <c:pt idx="0">
                      <c:v>KI</c:v>
                    </c:pt>
                  </c:strCache>
                </c:strRef>
              </c:tx>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a:noFill/>
                </a:ln>
              </c:spPr>
              <c:dLblPos val="r"/>
              <c:showLegendKey val="0"/>
              <c:showVal val="0"/>
              <c:showBubbleSize val="0"/>
              <c:showCatName val="1"/>
              <c:showSerName val="0"/>
              <c:showPercent val="0"/>
            </c:dLbl>
            <c:dLbl>
              <c:idx val="12"/>
              <c:layout>
                <c:manualLayout>
                  <c:x val="0"/>
                  <c:y val="0"/>
                </c:manualLayout>
              </c:layout>
              <c:tx>
                <c:strRef>
                  <c:f>Discussion!$B$272</c:f>
                  <c:strCache>
                    <c:ptCount val="1"/>
                    <c:pt idx="0">
                      <c:v>RbF</c:v>
                    </c:pt>
                  </c:strCache>
                </c:strRef>
              </c:tx>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13"/>
              <c:layout>
                <c:manualLayout>
                  <c:x val="0"/>
                  <c:y val="0"/>
                </c:manualLayout>
              </c:layout>
              <c:tx>
                <c:strRef>
                  <c:f>Discussion!$B$273</c:f>
                  <c:strCache>
                    <c:ptCount val="1"/>
                    <c:pt idx="0">
                      <c:v>RbCl</c:v>
                    </c:pt>
                  </c:strCache>
                </c:strRef>
              </c:tx>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14"/>
              <c:layout>
                <c:manualLayout>
                  <c:x val="0"/>
                  <c:y val="0"/>
                </c:manualLayout>
              </c:layout>
              <c:tx>
                <c:strRef>
                  <c:f>Discussion!$B$274</c:f>
                  <c:strCache>
                    <c:ptCount val="1"/>
                    <c:pt idx="0">
                      <c:v>RbBr</c:v>
                    </c:pt>
                  </c:strCache>
                </c:strRef>
              </c:tx>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15"/>
              <c:layout>
                <c:manualLayout>
                  <c:x val="0"/>
                  <c:y val="0"/>
                </c:manualLayout>
              </c:layout>
              <c:tx>
                <c:strRef>
                  <c:f>Discussion!$B$275</c:f>
                  <c:strCache>
                    <c:ptCount val="1"/>
                    <c:pt idx="0">
                      <c:v>RbI</c:v>
                    </c:pt>
                  </c:strCache>
                </c:strRef>
              </c:tx>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16"/>
              <c:layout>
                <c:manualLayout>
                  <c:x val="0"/>
                  <c:y val="0"/>
                </c:manualLayout>
              </c:layout>
              <c:tx>
                <c:strRef>
                  <c:f>Discussion!$B$276</c:f>
                  <c:strCache>
                    <c:ptCount val="1"/>
                    <c:pt idx="0">
                      <c:v>CsF</c:v>
                    </c:pt>
                  </c:strCache>
                </c:strRef>
              </c:tx>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17"/>
              <c:layout>
                <c:manualLayout>
                  <c:x val="0"/>
                  <c:y val="0"/>
                </c:manualLayout>
              </c:layout>
              <c:tx>
                <c:strRef>
                  <c:f>Discussion!$B$277</c:f>
                  <c:strCache>
                    <c:ptCount val="1"/>
                    <c:pt idx="0">
                      <c:v>CsCl</c:v>
                    </c:pt>
                  </c:strCache>
                </c:strRef>
              </c:tx>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18"/>
              <c:layout>
                <c:manualLayout>
                  <c:x val="0"/>
                  <c:y val="0"/>
                </c:manualLayout>
              </c:layout>
              <c:tx>
                <c:strRef>
                  <c:f>Discussion!$B$278</c:f>
                  <c:strCache>
                    <c:ptCount val="1"/>
                    <c:pt idx="0">
                      <c:v>CsBr</c:v>
                    </c:pt>
                  </c:strCache>
                </c:strRef>
              </c:tx>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19"/>
              <c:layout>
                <c:manualLayout>
                  <c:x val="0"/>
                  <c:y val="0"/>
                </c:manualLayout>
              </c:layout>
              <c:tx>
                <c:strRef>
                  <c:f>Discussion!$B$279</c:f>
                  <c:strCache>
                    <c:ptCount val="1"/>
                    <c:pt idx="0">
                      <c:v>CsI</c:v>
                    </c:pt>
                  </c:strCache>
                </c:strRef>
              </c:tx>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20"/>
              <c:delete val="1"/>
            </c:dLbl>
            <c:dLbl>
              <c:idx val="21"/>
              <c:delete val="1"/>
            </c:dLbl>
            <c:dLbl>
              <c:idx val="22"/>
              <c:delete val="1"/>
            </c:dLbl>
            <c:dLbl>
              <c:idx val="23"/>
              <c:delete val="1"/>
            </c:dLbl>
            <c:numFmt formatCode="General" sourceLinked="1"/>
            <c:spPr>
              <a:noFill/>
              <a:ln>
                <a:noFill/>
              </a:ln>
            </c:spPr>
            <c:showLegendKey val="0"/>
            <c:showVal val="0"/>
            <c:showBubbleSize val="0"/>
            <c:showCatName val="0"/>
            <c:showSerName val="1"/>
            <c:showPercent val="0"/>
          </c:dLbls>
          <c:xVal>
            <c:numRef>
              <c:f>Discussion!$C$260:$C$279</c:f>
              <c:numCache/>
            </c:numRef>
          </c:xVal>
          <c:yVal>
            <c:numRef>
              <c:f>Discussion!$D$260:$D$279</c:f>
              <c:numCache/>
            </c:numRef>
          </c:yVal>
          <c:smooth val="0"/>
        </c:ser>
        <c:ser>
          <c:idx val="1"/>
          <c:order val="1"/>
          <c:tx>
            <c:v>Lines</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Discussion!$K$260:$K$276</c:f>
              <c:numCache/>
            </c:numRef>
          </c:xVal>
          <c:yVal>
            <c:numRef>
              <c:f>Discussion!$L$260:$L$276</c:f>
              <c:numCache/>
            </c:numRef>
          </c:yVal>
          <c:smooth val="0"/>
        </c:ser>
        <c:axId val="26736141"/>
        <c:axId val="39298678"/>
      </c:scatterChart>
      <c:valAx>
        <c:axId val="26736141"/>
        <c:scaling>
          <c:orientation val="minMax"/>
        </c:scaling>
        <c:axPos val="b"/>
        <c:title>
          <c:tx>
            <c:rich>
              <a:bodyPr vert="horz" rot="0" anchor="ctr"/>
              <a:lstStyle/>
              <a:p>
                <a:pPr algn="ctr">
                  <a:defRPr/>
                </a:pPr>
                <a:r>
                  <a:rPr lang="en-US" cap="none" sz="925" b="1" i="0" u="none" baseline="0">
                    <a:solidFill>
                      <a:srgbClr val="000000"/>
                    </a:solidFill>
                    <a:latin typeface="Arial"/>
                    <a:ea typeface="Arial"/>
                    <a:cs typeface="Arial"/>
                  </a:rPr>
                  <a:t>Difference in </a:t>
                </a:r>
                <a:r>
                  <a:rPr lang="en-US" cap="none" sz="925" b="1" i="0" u="none" baseline="0">
                    <a:solidFill>
                      <a:srgbClr val="000000"/>
                    </a:solidFill>
                  </a:rPr>
                  <a:t>D</a:t>
                </a:r>
                <a:r>
                  <a:rPr lang="en-US" cap="none" sz="925" b="1" i="1" u="none" baseline="0">
                    <a:solidFill>
                      <a:srgbClr val="000000"/>
                    </a:solidFill>
                    <a:latin typeface="Arial"/>
                    <a:ea typeface="Arial"/>
                    <a:cs typeface="Arial"/>
                  </a:rPr>
                  <a:t>H</a:t>
                </a:r>
                <a:r>
                  <a:rPr lang="en-US" cap="none" sz="925" b="1" i="0" u="none" baseline="-25000">
                    <a:solidFill>
                      <a:srgbClr val="000000"/>
                    </a:solidFill>
                    <a:latin typeface="Arial"/>
                    <a:ea typeface="Arial"/>
                    <a:cs typeface="Arial"/>
                  </a:rPr>
                  <a:t>hyd</a:t>
                </a:r>
                <a:r>
                  <a:rPr lang="en-US" cap="none" sz="925" b="1" i="0" u="none" baseline="0">
                    <a:solidFill>
                      <a:srgbClr val="000000"/>
                    </a:solidFill>
                    <a:latin typeface="Arial"/>
                    <a:ea typeface="Arial"/>
                    <a:cs typeface="Arial"/>
                  </a:rPr>
                  <a:t> between anion and cation / (kJ/mol)</a:t>
                </a:r>
              </a:p>
            </c:rich>
          </c:tx>
          <c:layout>
            <c:manualLayout>
              <c:xMode val="factor"/>
              <c:yMode val="factor"/>
              <c:x val="0.00275"/>
              <c:y val="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9298678"/>
        <c:crossesAt val="-400"/>
        <c:crossBetween val="midCat"/>
        <c:dispUnits/>
      </c:valAx>
      <c:valAx>
        <c:axId val="39298678"/>
        <c:scaling>
          <c:orientation val="minMax"/>
        </c:scaling>
        <c:axPos val="l"/>
        <c:title>
          <c:tx>
            <c:rich>
              <a:bodyPr vert="horz" rot="-5400000" anchor="ctr"/>
              <a:lstStyle/>
              <a:p>
                <a:pPr algn="ctr">
                  <a:defRPr/>
                </a:pPr>
                <a:r>
                  <a:rPr lang="en-US" cap="none" sz="925" b="1" i="0" u="none" baseline="0">
                    <a:solidFill>
                      <a:srgbClr val="000000"/>
                    </a:solidFill>
                    <a:latin typeface="Arial"/>
                    <a:ea typeface="Arial"/>
                    <a:cs typeface="Arial"/>
                  </a:rPr>
                  <a:t>Enthalpy of solution / (kJ/mol)</a:t>
                </a:r>
              </a:p>
            </c:rich>
          </c:tx>
          <c:layout>
            <c:manualLayout>
              <c:xMode val="factor"/>
              <c:yMode val="factor"/>
              <c:x val="-0.0025"/>
              <c:y val="-0.006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6736141"/>
        <c:crossesAt val="-400"/>
        <c:crossBetween val="midCat"/>
        <c:dispUnits/>
        <c:majorUnit val="2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Arial"/>
                <a:ea typeface="Arial"/>
                <a:cs typeface="Arial"/>
              </a:rPr>
              <a:t>Heat Capacity of Solids </a:t>
            </a:r>
            <a:r>
              <a:rPr lang="en-US" cap="none" sz="1200" b="0" i="1" u="none" baseline="0">
                <a:solidFill>
                  <a:srgbClr val="000000"/>
                </a:solidFill>
                <a:latin typeface="Arial"/>
                <a:ea typeface="Arial"/>
                <a:cs typeface="Arial"/>
              </a:rPr>
              <a:t>vs</a:t>
            </a:r>
            <a:r>
              <a:rPr lang="en-US" cap="none" sz="1200" b="0" i="0" u="none" baseline="0">
                <a:solidFill>
                  <a:srgbClr val="000000"/>
                </a:solidFill>
                <a:latin typeface="Arial"/>
                <a:ea typeface="Arial"/>
                <a:cs typeface="Arial"/>
              </a:rPr>
              <a:t>. Temperature</a:t>
            </a:r>
          </a:p>
        </c:rich>
      </c:tx>
      <c:layout/>
      <c:spPr>
        <a:noFill/>
        <a:ln>
          <a:noFill/>
        </a:ln>
      </c:spPr>
    </c:title>
    <c:plotArea>
      <c:layout>
        <c:manualLayout>
          <c:xMode val="edge"/>
          <c:yMode val="edge"/>
          <c:x val="0.03675"/>
          <c:y val="0.117"/>
          <c:w val="0.96325"/>
          <c:h val="0.83725"/>
        </c:manualLayout>
      </c:layout>
      <c:scatterChart>
        <c:scatterStyle val="smoothMarker"/>
        <c:varyColors val="0"/>
        <c:ser>
          <c:idx val="5"/>
          <c:order val="0"/>
          <c:tx>
            <c:v>CsCl</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33"/>
              </a:solidFill>
              <a:ln>
                <a:solidFill>
                  <a:srgbClr val="333333"/>
                </a:solidFill>
              </a:ln>
            </c:spPr>
          </c:marker>
          <c:xVal>
            <c:numRef>
              <c:f>Discussion!$AL$91:$AL$149</c:f>
              <c:numCache/>
            </c:numRef>
          </c:xVal>
          <c:yVal>
            <c:numRef>
              <c:f>Discussion!$AO$91:$AO$149</c:f>
              <c:numCache/>
            </c:numRef>
          </c:yVal>
          <c:smooth val="1"/>
        </c:ser>
        <c:ser>
          <c:idx val="1"/>
          <c:order val="1"/>
          <c:tx>
            <c:v>NaCl</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333333"/>
                </a:solidFill>
              </a:ln>
            </c:spPr>
          </c:marker>
          <c:xVal>
            <c:numRef>
              <c:f>Discussion!$P$91:$P$190</c:f>
              <c:numCache/>
            </c:numRef>
          </c:xVal>
          <c:yVal>
            <c:numRef>
              <c:f>Discussion!$S$91:$S$190</c:f>
              <c:numCache/>
            </c:numRef>
          </c:yVal>
          <c:smooth val="1"/>
        </c:ser>
        <c:ser>
          <c:idx val="4"/>
          <c:order val="2"/>
          <c:tx>
            <c:v>LiCl</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noFill/>
              <a:ln>
                <a:solidFill>
                  <a:srgbClr val="333333"/>
                </a:solidFill>
              </a:ln>
            </c:spPr>
          </c:marker>
          <c:xVal>
            <c:numRef>
              <c:f>Discussion!$Y$91:$Y$157</c:f>
              <c:numCache/>
            </c:numRef>
          </c:xVal>
          <c:yVal>
            <c:numRef>
              <c:f>Discussion!$AB$91:$AB$157</c:f>
              <c:numCache/>
            </c:numRef>
          </c:yVal>
          <c:smooth val="1"/>
        </c:ser>
        <c:ser>
          <c:idx val="2"/>
          <c:order val="3"/>
          <c:tx>
            <c:v>Al2O3</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FFFFFF"/>
              </a:solidFill>
              <a:ln>
                <a:solidFill>
                  <a:srgbClr val="333333"/>
                </a:solidFill>
              </a:ln>
            </c:spPr>
          </c:marker>
          <c:xVal>
            <c:numRef>
              <c:f>Discussion!$U$91:$U$153</c:f>
              <c:numCache/>
            </c:numRef>
          </c:xVal>
          <c:yVal>
            <c:numRef>
              <c:f>Discussion!$W$91:$W$153</c:f>
              <c:numCache/>
            </c:numRef>
          </c:yVal>
          <c:smooth val="1"/>
        </c:ser>
        <c:ser>
          <c:idx val="6"/>
          <c:order val="4"/>
          <c:tx>
            <c:v>MgO</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33"/>
              </a:solidFill>
              <a:ln>
                <a:solidFill>
                  <a:srgbClr val="333333"/>
                </a:solidFill>
              </a:ln>
            </c:spPr>
          </c:marker>
          <c:xVal>
            <c:numRef>
              <c:f>Discussion!$AD$91:$AD$131</c:f>
              <c:numCache/>
            </c:numRef>
          </c:xVal>
          <c:yVal>
            <c:numRef>
              <c:f>Discussion!$AF$91:$AF$131</c:f>
              <c:numCache/>
            </c:numRef>
          </c:yVal>
          <c:smooth val="1"/>
        </c:ser>
        <c:ser>
          <c:idx val="3"/>
          <c:order val="5"/>
          <c:tx>
            <c:v>BaO</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33"/>
              </a:solidFill>
              <a:ln>
                <a:solidFill>
                  <a:srgbClr val="333333"/>
                </a:solidFill>
              </a:ln>
            </c:spPr>
          </c:marker>
          <c:xVal>
            <c:numRef>
              <c:f>Discussion!$AH$91:$AH$130</c:f>
              <c:numCache/>
            </c:numRef>
          </c:xVal>
          <c:yVal>
            <c:numRef>
              <c:f>Discussion!$AJ$91:$AJ$130</c:f>
              <c:numCache/>
            </c:numRef>
          </c:yVal>
          <c:smooth val="1"/>
        </c:ser>
        <c:ser>
          <c:idx val="0"/>
          <c:order val="6"/>
          <c:tx>
            <c:v>CsI</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333333"/>
                </a:solidFill>
              </a:ln>
            </c:spPr>
          </c:marker>
          <c:xVal>
            <c:numRef>
              <c:f>Discussion!$AQ$91:$AQ$145</c:f>
              <c:numCache/>
            </c:numRef>
          </c:xVal>
          <c:yVal>
            <c:numRef>
              <c:f>Discussion!$AT$91:$AT$145</c:f>
              <c:numCache/>
            </c:numRef>
          </c:yVal>
          <c:smooth val="1"/>
        </c:ser>
        <c:axId val="18143783"/>
        <c:axId val="29076320"/>
      </c:scatterChart>
      <c:valAx>
        <c:axId val="18143783"/>
        <c:scaling>
          <c:orientation val="minMax"/>
          <c:max val="300"/>
        </c:scaling>
        <c:axPos val="b"/>
        <c:title>
          <c:tx>
            <c:rich>
              <a:bodyPr vert="horz" rot="0" anchor="ctr"/>
              <a:lstStyle/>
              <a:p>
                <a:pPr algn="ctr">
                  <a:defRPr/>
                </a:pPr>
                <a:r>
                  <a:rPr lang="en-US" cap="none" sz="1075" b="1" i="0" u="none" baseline="0">
                    <a:solidFill>
                      <a:srgbClr val="000000"/>
                    </a:solidFill>
                    <a:latin typeface="Arial"/>
                    <a:ea typeface="Arial"/>
                    <a:cs typeface="Arial"/>
                  </a:rPr>
                  <a:t>Temperature / K</a:t>
                </a:r>
              </a:p>
            </c:rich>
          </c:tx>
          <c:layout>
            <c:manualLayout>
              <c:xMode val="factor"/>
              <c:yMode val="factor"/>
              <c:x val="0.014"/>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9076320"/>
        <c:crosses val="autoZero"/>
        <c:crossBetween val="midCat"/>
        <c:dispUnits/>
      </c:valAx>
      <c:valAx>
        <c:axId val="29076320"/>
        <c:scaling>
          <c:orientation val="minMax"/>
          <c:max val="3.5"/>
          <c:min val="0"/>
        </c:scaling>
        <c:axPos val="l"/>
        <c:title>
          <c:tx>
            <c:rich>
              <a:bodyPr vert="horz" rot="-5400000" anchor="ctr"/>
              <a:lstStyle/>
              <a:p>
                <a:pPr algn="ctr">
                  <a:defRPr/>
                </a:pPr>
                <a:r>
                  <a:rPr lang="en-US" cap="none" sz="1075" b="1" i="0" u="none" baseline="0">
                    <a:solidFill>
                      <a:srgbClr val="000000"/>
                    </a:solidFill>
                    <a:latin typeface="Arial"/>
                    <a:ea typeface="Arial"/>
                    <a:cs typeface="Arial"/>
                  </a:rPr>
                  <a:t>C</a:t>
                </a:r>
                <a:r>
                  <a:rPr lang="en-US" cap="none" sz="1075" b="1" i="1" u="none" baseline="-25000">
                    <a:solidFill>
                      <a:srgbClr val="000000"/>
                    </a:solidFill>
                    <a:latin typeface="Arial"/>
                    <a:ea typeface="Arial"/>
                    <a:cs typeface="Arial"/>
                  </a:rPr>
                  <a:t>P</a:t>
                </a:r>
                <a:r>
                  <a:rPr lang="en-US" cap="none" sz="1075" b="1" i="0" u="none" baseline="0">
                    <a:solidFill>
                      <a:srgbClr val="000000"/>
                    </a:solidFill>
                    <a:latin typeface="Arial"/>
                    <a:ea typeface="Arial"/>
                    <a:cs typeface="Arial"/>
                  </a:rPr>
                  <a:t>° / </a:t>
                </a:r>
                <a:r>
                  <a:rPr lang="en-US" cap="none" sz="1075" b="1" i="1" u="none" baseline="0">
                    <a:solidFill>
                      <a:srgbClr val="000000"/>
                    </a:solidFill>
                    <a:latin typeface="Arial"/>
                    <a:ea typeface="Arial"/>
                    <a:cs typeface="Arial"/>
                  </a:rPr>
                  <a:t>nR</a:t>
                </a:r>
              </a:p>
            </c:rich>
          </c:tx>
          <c:layout>
            <c:manualLayout>
              <c:xMode val="factor"/>
              <c:yMode val="factor"/>
              <c:x val="0.004"/>
              <c:y val="0"/>
            </c:manualLayout>
          </c:layout>
          <c:overlay val="0"/>
          <c:spPr>
            <a:noFill/>
            <a:ln>
              <a:noFill/>
            </a:ln>
          </c:spPr>
        </c:title>
        <c:delete val="0"/>
        <c:numFmt formatCode="0" sourceLinked="0"/>
        <c:majorTickMark val="out"/>
        <c:minorTickMark val="none"/>
        <c:tickLblPos val="nextTo"/>
        <c:spPr>
          <a:ln w="3175">
            <a:solidFill>
              <a:srgbClr val="000000"/>
            </a:solidFill>
          </a:ln>
        </c:spPr>
        <c:crossAx val="18143783"/>
        <c:crosses val="autoZero"/>
        <c:crossBetween val="midCat"/>
        <c:dispUnits/>
        <c:majorUnit val="1"/>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Directions!A31:B32" /><Relationship Id="rId2" Type="http://schemas.openxmlformats.org/officeDocument/2006/relationships/chart" Target="/xl/charts/chart1.xml" /><Relationship Id="rId3" Type="http://schemas.openxmlformats.org/officeDocument/2006/relationships/image" Target="../media/image1.png" /><Relationship Id="rId4"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266700</xdr:colOff>
      <xdr:row>19</xdr:row>
      <xdr:rowOff>38100</xdr:rowOff>
    </xdr:from>
    <xdr:ext cx="2228850" cy="352425"/>
    <xdr:sp>
      <xdr:nvSpPr>
        <xdr:cNvPr id="1" name="AutoShape 19"/>
        <xdr:cNvSpPr>
          <a:spLocks/>
        </xdr:cNvSpPr>
      </xdr:nvSpPr>
      <xdr:spPr>
        <a:xfrm>
          <a:off x="266700" y="3571875"/>
          <a:ext cx="2228850" cy="352425"/>
        </a:xfrm>
        <a:prstGeom prst="borderCallout1">
          <a:avLst>
            <a:gd name="adj1" fmla="val 64958"/>
            <a:gd name="adj2" fmla="val -25675"/>
            <a:gd name="adj3" fmla="val 53416"/>
            <a:gd name="adj4" fmla="val -17569"/>
          </a:avLst>
        </a:prstGeom>
        <a:solidFill>
          <a:srgbClr val="DDDDDD"/>
        </a:solidFill>
        <a:ln w="9525" cmpd="sng">
          <a:solidFill>
            <a:srgbClr val="000000"/>
          </a:solidFill>
          <a:headEnd type="stealth"/>
          <a:tailEnd type="none"/>
        </a:ln>
      </xdr:spPr>
      <xdr:txBody>
        <a:bodyPr vertOverflow="clip" wrap="square" lIns="27432" tIns="22860" rIns="0" bIns="0"/>
        <a:p>
          <a:pPr algn="l">
            <a:defRPr/>
          </a:pPr>
          <a:r>
            <a:rPr lang="en-US" cap="none" sz="1000" b="1" i="0" u="none" baseline="0">
              <a:solidFill>
                <a:srgbClr val="0000FF"/>
              </a:solidFill>
              <a:latin typeface="Arial"/>
              <a:ea typeface="Arial"/>
              <a:cs typeface="Arial"/>
            </a:rPr>
            <a:t>2.  Click in the pink row</a:t>
          </a:r>
          <a:r>
            <a:rPr lang="en-US" cap="none" sz="1000" b="0" i="0" u="none" baseline="0">
              <a:solidFill>
                <a:srgbClr val="0000FF"/>
              </a:solidFill>
              <a:latin typeface="Arial"/>
              <a:ea typeface="Arial"/>
              <a:cs typeface="Arial"/>
            </a:rPr>
            <a:t> containing
</a:t>
          </a:r>
          <a:r>
            <a:rPr lang="en-US" cap="none" sz="1000" b="0" i="0" u="none" baseline="0">
              <a:solidFill>
                <a:srgbClr val="0000FF"/>
              </a:solidFill>
              <a:latin typeface="Arial"/>
              <a:ea typeface="Arial"/>
              <a:cs typeface="Arial"/>
            </a:rPr>
            <a:t>     the ion's desired charge and C.N.</a:t>
          </a:r>
        </a:p>
      </xdr:txBody>
    </xdr:sp>
    <xdr:clientData/>
  </xdr:oneCellAnchor>
  <xdr:oneCellAnchor>
    <xdr:from>
      <xdr:col>0</xdr:col>
      <xdr:colOff>257175</xdr:colOff>
      <xdr:row>21</xdr:row>
      <xdr:rowOff>142875</xdr:rowOff>
    </xdr:from>
    <xdr:ext cx="2238375" cy="514350"/>
    <xdr:sp>
      <xdr:nvSpPr>
        <xdr:cNvPr id="2" name="AutoShape 20"/>
        <xdr:cNvSpPr>
          <a:spLocks/>
        </xdr:cNvSpPr>
      </xdr:nvSpPr>
      <xdr:spPr>
        <a:xfrm>
          <a:off x="257175" y="4000500"/>
          <a:ext cx="2238375" cy="514350"/>
        </a:xfrm>
        <a:prstGeom prst="borderCallout1">
          <a:avLst>
            <a:gd name="adj1" fmla="val 78083"/>
            <a:gd name="adj2" fmla="val -138888"/>
            <a:gd name="adj3" fmla="val 53402"/>
            <a:gd name="adj4" fmla="val -27777"/>
          </a:avLst>
        </a:prstGeom>
        <a:solidFill>
          <a:srgbClr val="DDDDDD"/>
        </a:solidFill>
        <a:ln w="9525" cmpd="sng">
          <a:solidFill>
            <a:srgbClr val="000000"/>
          </a:solidFill>
          <a:headEnd type="stealth"/>
          <a:tailEnd type="none"/>
        </a:ln>
      </xdr:spPr>
      <xdr:txBody>
        <a:bodyPr vertOverflow="clip" wrap="square" lIns="27432" tIns="22860" rIns="0" bIns="0"/>
        <a:p>
          <a:pPr algn="l">
            <a:defRPr/>
          </a:pPr>
          <a:r>
            <a:rPr lang="en-US" cap="none" sz="1000" b="1" i="0" u="none" baseline="0">
              <a:solidFill>
                <a:srgbClr val="0000FF"/>
              </a:solidFill>
              <a:latin typeface="Arial"/>
              <a:ea typeface="Arial"/>
              <a:cs typeface="Arial"/>
            </a:rPr>
            <a:t>3.  Click the "</a:t>
          </a:r>
          <a:r>
            <a:rPr lang="en-US" cap="none" sz="1000" b="1" i="0" u="sng" baseline="0">
              <a:solidFill>
                <a:srgbClr val="0000FF"/>
              </a:solidFill>
              <a:latin typeface="Arial"/>
              <a:ea typeface="Arial"/>
              <a:cs typeface="Arial"/>
            </a:rPr>
            <a:t>P</a:t>
          </a:r>
          <a:r>
            <a:rPr lang="en-US" cap="none" sz="1000" b="1" i="0" u="none" baseline="0">
              <a:solidFill>
                <a:srgbClr val="0000FF"/>
              </a:solidFill>
              <a:latin typeface="Arial"/>
              <a:ea typeface="Arial"/>
              <a:cs typeface="Arial"/>
            </a:rPr>
            <a:t>aste" button</a:t>
          </a:r>
          <a:r>
            <a:rPr lang="en-US" cap="none" sz="1000" b="0" i="0" u="none" baseline="0">
              <a:solidFill>
                <a:srgbClr val="0000FF"/>
              </a:solidFill>
              <a:latin typeface="Arial"/>
              <a:ea typeface="Arial"/>
              <a:cs typeface="Arial"/>
            </a:rPr>
            <a:t> to paste
</a:t>
          </a:r>
          <a:r>
            <a:rPr lang="en-US" cap="none" sz="1000" b="0" i="0" u="none" baseline="0">
              <a:solidFill>
                <a:srgbClr val="0000FF"/>
              </a:solidFill>
              <a:latin typeface="Arial"/>
              <a:ea typeface="Arial"/>
              <a:cs typeface="Arial"/>
            </a:rPr>
            <a:t>     the data into the rest of the sheet.  
</a:t>
          </a:r>
          <a:r>
            <a:rPr lang="en-US" cap="none" sz="1000" b="1" i="0" u="none" baseline="0">
              <a:solidFill>
                <a:srgbClr val="0000FF"/>
              </a:solidFill>
              <a:latin typeface="Arial"/>
              <a:ea typeface="Arial"/>
              <a:cs typeface="Arial"/>
            </a:rPr>
            <a:t>Repeat Steps 1–3 for the other ion.</a:t>
          </a:r>
        </a:p>
      </xdr:txBody>
    </xdr:sp>
    <xdr:clientData/>
  </xdr:oneCellAnchor>
  <xdr:twoCellAnchor>
    <xdr:from>
      <xdr:col>0</xdr:col>
      <xdr:colOff>266700</xdr:colOff>
      <xdr:row>16</xdr:row>
      <xdr:rowOff>76200</xdr:rowOff>
    </xdr:from>
    <xdr:to>
      <xdr:col>6</xdr:col>
      <xdr:colOff>152400</xdr:colOff>
      <xdr:row>18</xdr:row>
      <xdr:rowOff>123825</xdr:rowOff>
    </xdr:to>
    <xdr:grpSp>
      <xdr:nvGrpSpPr>
        <xdr:cNvPr id="3" name="Group 21"/>
        <xdr:cNvGrpSpPr>
          <a:grpSpLocks/>
        </xdr:cNvGrpSpPr>
      </xdr:nvGrpSpPr>
      <xdr:grpSpPr>
        <a:xfrm>
          <a:off x="266700" y="3086100"/>
          <a:ext cx="2228850" cy="371475"/>
          <a:chOff x="28" y="322"/>
          <a:chExt cx="234" cy="39"/>
        </a:xfrm>
        <a:solidFill>
          <a:srgbClr val="FFFFFF"/>
        </a:solidFill>
      </xdr:grpSpPr>
      <xdr:sp>
        <xdr:nvSpPr>
          <xdr:cNvPr id="4" name="AutoShape 22"/>
          <xdr:cNvSpPr>
            <a:spLocks/>
          </xdr:cNvSpPr>
        </xdr:nvSpPr>
        <xdr:spPr>
          <a:xfrm>
            <a:off x="28" y="322"/>
            <a:ext cx="234" cy="39"/>
          </a:xfrm>
          <a:prstGeom prst="borderCallout3">
            <a:avLst>
              <a:gd name="adj1" fmla="val -46583"/>
              <a:gd name="adj2" fmla="val -178203"/>
              <a:gd name="adj3" fmla="val -55129"/>
              <a:gd name="adj4" fmla="val -98717"/>
              <a:gd name="adj5" fmla="val -55129"/>
              <a:gd name="adj6" fmla="val -19231"/>
              <a:gd name="adj7" fmla="val -53416"/>
              <a:gd name="adj8" fmla="val -19231"/>
            </a:avLst>
          </a:prstGeom>
          <a:solidFill>
            <a:srgbClr val="DDDDDD"/>
          </a:solidFill>
          <a:ln w="9525" cmpd="sng">
            <a:solidFill>
              <a:srgbClr val="000000"/>
            </a:solidFill>
            <a:headEnd type="stealth"/>
            <a:tailEnd type="none"/>
          </a:ln>
        </xdr:spPr>
        <xdr:txBody>
          <a:bodyPr vertOverflow="clip" wrap="square" lIns="0" tIns="0" rIns="0" bIns="0"/>
          <a:p>
            <a:pPr algn="l">
              <a:defRPr/>
            </a:pPr>
            <a:r>
              <a:rPr lang="en-US" cap="none" sz="1000" b="1" i="0" u="none" baseline="0">
                <a:solidFill>
                  <a:srgbClr val="0000FF"/>
                </a:solidFill>
                <a:latin typeface="Arial"/>
                <a:ea typeface="Arial"/>
                <a:cs typeface="Arial"/>
              </a:rPr>
              <a:t>1.  Click on an element </a:t>
            </a:r>
            <a:r>
              <a:rPr lang="en-US" cap="none" sz="1000" b="0" i="0" u="none" baseline="0">
                <a:solidFill>
                  <a:srgbClr val="0000FF"/>
                </a:solidFill>
                <a:latin typeface="Arial"/>
                <a:ea typeface="Arial"/>
                <a:cs typeface="Arial"/>
              </a:rPr>
              <a:t>to display its
</a:t>
            </a:r>
            <a:r>
              <a:rPr lang="en-US" cap="none" sz="1000" b="0" i="0" u="none" baseline="0">
                <a:solidFill>
                  <a:srgbClr val="0000FF"/>
                </a:solidFill>
                <a:latin typeface="Arial"/>
                <a:ea typeface="Arial"/>
                <a:cs typeface="Arial"/>
              </a:rPr>
              <a:t>     properties.
</a:t>
            </a:r>
          </a:p>
        </xdr:txBody>
      </xdr:sp>
      <xdr:sp>
        <xdr:nvSpPr>
          <xdr:cNvPr id="5" name="Text Box 23">
            <a:hlinkClick r:id="rId1"/>
          </xdr:cNvPr>
          <xdr:cNvSpPr txBox="1">
            <a:spLocks noChangeArrowheads="1"/>
          </xdr:cNvSpPr>
        </xdr:nvSpPr>
        <xdr:spPr>
          <a:xfrm>
            <a:off x="115" y="339"/>
            <a:ext cx="147" cy="21"/>
          </a:xfrm>
          <a:prstGeom prst="rect">
            <a:avLst/>
          </a:prstGeom>
          <a:noFill/>
          <a:ln w="9525" cmpd="sng">
            <a:noFill/>
          </a:ln>
        </xdr:spPr>
        <xdr:txBody>
          <a:bodyPr vertOverflow="clip" wrap="square" lIns="18288" tIns="22860" rIns="0" bIns="0">
            <a:spAutoFit/>
          </a:bodyPr>
          <a:p>
            <a:pPr algn="l">
              <a:defRPr/>
            </a:pPr>
            <a:r>
              <a:rPr lang="en-US" cap="none" sz="1000" b="0" i="0" u="sng" baseline="0">
                <a:solidFill>
                  <a:srgbClr val="0000FF"/>
                </a:solidFill>
                <a:latin typeface="Arial"/>
                <a:ea typeface="Arial"/>
                <a:cs typeface="Arial"/>
              </a:rPr>
              <a:t>If </a:t>
            </a:r>
            <a:r>
              <a:rPr lang="en-US" cap="none" sz="1000" b="1" i="0" u="sng" baseline="0">
                <a:solidFill>
                  <a:srgbClr val="0000FF"/>
                </a:solidFill>
                <a:latin typeface="Arial"/>
                <a:ea typeface="Arial"/>
                <a:cs typeface="Arial"/>
              </a:rPr>
              <a:t>macros don't work…</a:t>
            </a:r>
          </a:p>
        </xdr:txBody>
      </xdr:sp>
    </xdr:grpSp>
    <xdr:clientData/>
  </xdr:twoCellAnchor>
  <xdr:twoCellAnchor>
    <xdr:from>
      <xdr:col>2</xdr:col>
      <xdr:colOff>171450</xdr:colOff>
      <xdr:row>0</xdr:row>
      <xdr:rowOff>66675</xdr:rowOff>
    </xdr:from>
    <xdr:to>
      <xdr:col>16</xdr:col>
      <xdr:colOff>152400</xdr:colOff>
      <xdr:row>9</xdr:row>
      <xdr:rowOff>85725</xdr:rowOff>
    </xdr:to>
    <xdr:grpSp>
      <xdr:nvGrpSpPr>
        <xdr:cNvPr id="6" name="Group 139"/>
        <xdr:cNvGrpSpPr>
          <a:grpSpLocks/>
        </xdr:cNvGrpSpPr>
      </xdr:nvGrpSpPr>
      <xdr:grpSpPr>
        <a:xfrm>
          <a:off x="1047750" y="66675"/>
          <a:ext cx="6219825" cy="1704975"/>
          <a:chOff x="110" y="7"/>
          <a:chExt cx="653" cy="179"/>
        </a:xfrm>
        <a:solidFill>
          <a:srgbClr val="FFFFFF"/>
        </a:solidFill>
      </xdr:grpSpPr>
      <xdr:sp macro="[0]!Sheet1.Element3_Click">
        <xdr:nvSpPr>
          <xdr:cNvPr id="7" name="Rectangle 25"/>
          <xdr:cNvSpPr>
            <a:spLocks/>
          </xdr:cNvSpPr>
        </xdr:nvSpPr>
        <xdr:spPr>
          <a:xfrm>
            <a:off x="110" y="27"/>
            <a:ext cx="35" cy="19"/>
          </a:xfrm>
          <a:prstGeom prst="rect">
            <a:avLst/>
          </a:prstGeom>
          <a:solidFill>
            <a:srgbClr val="FFFF00"/>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3</a:t>
            </a:r>
            <a:r>
              <a:rPr lang="en-US" cap="none" sz="1000" b="0" i="0" u="none" baseline="0">
                <a:solidFill>
                  <a:srgbClr val="000000"/>
                </a:solidFill>
                <a:latin typeface="Arial"/>
                <a:ea typeface="Arial"/>
                <a:cs typeface="Arial"/>
              </a:rPr>
              <a:t>Li</a:t>
            </a:r>
          </a:p>
        </xdr:txBody>
      </xdr:sp>
      <xdr:sp macro="[0]!Sheet1.Element11_Click">
        <xdr:nvSpPr>
          <xdr:cNvPr id="8" name="Rectangle 26"/>
          <xdr:cNvSpPr>
            <a:spLocks/>
          </xdr:cNvSpPr>
        </xdr:nvSpPr>
        <xdr:spPr>
          <a:xfrm>
            <a:off x="110" y="46"/>
            <a:ext cx="35" cy="21"/>
          </a:xfrm>
          <a:prstGeom prst="rect">
            <a:avLst/>
          </a:prstGeom>
          <a:solidFill>
            <a:srgbClr val="FFFF00"/>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11</a:t>
            </a:r>
            <a:r>
              <a:rPr lang="en-US" cap="none" sz="1000" b="0" i="0" u="none" baseline="0">
                <a:solidFill>
                  <a:srgbClr val="000000"/>
                </a:solidFill>
                <a:latin typeface="Arial"/>
                <a:ea typeface="Arial"/>
                <a:cs typeface="Arial"/>
              </a:rPr>
              <a:t>Na</a:t>
            </a:r>
          </a:p>
        </xdr:txBody>
      </xdr:sp>
      <xdr:sp macro="[0]!Sheet1.Element19_Click">
        <xdr:nvSpPr>
          <xdr:cNvPr id="9" name="Rectangle 27"/>
          <xdr:cNvSpPr>
            <a:spLocks/>
          </xdr:cNvSpPr>
        </xdr:nvSpPr>
        <xdr:spPr>
          <a:xfrm>
            <a:off x="110" y="67"/>
            <a:ext cx="35" cy="20"/>
          </a:xfrm>
          <a:prstGeom prst="rect">
            <a:avLst/>
          </a:prstGeom>
          <a:solidFill>
            <a:srgbClr val="FFFF00"/>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19</a:t>
            </a:r>
            <a:r>
              <a:rPr lang="en-US" cap="none" sz="1000" b="0" i="0" u="none" baseline="0">
                <a:solidFill>
                  <a:srgbClr val="000000"/>
                </a:solidFill>
                <a:latin typeface="Arial"/>
                <a:ea typeface="Arial"/>
                <a:cs typeface="Arial"/>
              </a:rPr>
              <a:t>K</a:t>
            </a:r>
          </a:p>
        </xdr:txBody>
      </xdr:sp>
      <xdr:sp macro="[0]!Sheet1.Element37_Click">
        <xdr:nvSpPr>
          <xdr:cNvPr id="10" name="Rectangle 28"/>
          <xdr:cNvSpPr>
            <a:spLocks/>
          </xdr:cNvSpPr>
        </xdr:nvSpPr>
        <xdr:spPr>
          <a:xfrm>
            <a:off x="110" y="87"/>
            <a:ext cx="35" cy="19"/>
          </a:xfrm>
          <a:prstGeom prst="rect">
            <a:avLst/>
          </a:prstGeom>
          <a:solidFill>
            <a:srgbClr val="FFFF00"/>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37</a:t>
            </a:r>
            <a:r>
              <a:rPr lang="en-US" cap="none" sz="1000" b="0" i="0" u="none" baseline="0">
                <a:solidFill>
                  <a:srgbClr val="000000"/>
                </a:solidFill>
                <a:latin typeface="Arial"/>
                <a:ea typeface="Arial"/>
                <a:cs typeface="Arial"/>
              </a:rPr>
              <a:t>Rb</a:t>
            </a:r>
          </a:p>
        </xdr:txBody>
      </xdr:sp>
      <xdr:sp macro="[0]!Sheet1.Element55_Click">
        <xdr:nvSpPr>
          <xdr:cNvPr id="11" name="Rectangle 29"/>
          <xdr:cNvSpPr>
            <a:spLocks/>
          </xdr:cNvSpPr>
        </xdr:nvSpPr>
        <xdr:spPr>
          <a:xfrm>
            <a:off x="110" y="106"/>
            <a:ext cx="35" cy="20"/>
          </a:xfrm>
          <a:prstGeom prst="rect">
            <a:avLst/>
          </a:prstGeom>
          <a:solidFill>
            <a:srgbClr val="FFFF00"/>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FF"/>
                </a:solidFill>
                <a:latin typeface="Arial"/>
                <a:ea typeface="Arial"/>
                <a:cs typeface="Arial"/>
              </a:rPr>
              <a:t>55</a:t>
            </a:r>
            <a:r>
              <a:rPr lang="en-US" cap="none" sz="1000" b="0" i="0" u="none" baseline="0">
                <a:solidFill>
                  <a:srgbClr val="0000FF"/>
                </a:solidFill>
                <a:latin typeface="Arial"/>
                <a:ea typeface="Arial"/>
                <a:cs typeface="Arial"/>
              </a:rPr>
              <a:t>Cs</a:t>
            </a:r>
          </a:p>
        </xdr:txBody>
      </xdr:sp>
      <xdr:sp>
        <xdr:nvSpPr>
          <xdr:cNvPr id="12" name="Rectangle 30"/>
          <xdr:cNvSpPr>
            <a:spLocks/>
          </xdr:cNvSpPr>
        </xdr:nvSpPr>
        <xdr:spPr>
          <a:xfrm>
            <a:off x="110" y="126"/>
            <a:ext cx="35" cy="21"/>
          </a:xfrm>
          <a:prstGeom prst="rect">
            <a:avLst/>
          </a:prstGeom>
          <a:solidFill>
            <a:srgbClr val="FFFF00"/>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87</a:t>
            </a:r>
            <a:r>
              <a:rPr lang="en-US" cap="none" sz="1000" b="0" i="0" u="none" baseline="0">
                <a:solidFill>
                  <a:srgbClr val="000000"/>
                </a:solidFill>
                <a:latin typeface="Arial"/>
                <a:ea typeface="Arial"/>
                <a:cs typeface="Arial"/>
              </a:rPr>
              <a:t>Fr</a:t>
            </a:r>
          </a:p>
        </xdr:txBody>
      </xdr:sp>
      <xdr:sp macro="[0]!Sheet1.Element87_Click">
        <xdr:nvSpPr>
          <xdr:cNvPr id="13" name="Rectangle 31"/>
          <xdr:cNvSpPr>
            <a:spLocks/>
          </xdr:cNvSpPr>
        </xdr:nvSpPr>
        <xdr:spPr>
          <a:xfrm>
            <a:off x="110" y="126"/>
            <a:ext cx="35" cy="21"/>
          </a:xfrm>
          <a:prstGeom prst="rect">
            <a:avLst/>
          </a:prstGeom>
          <a:solidFill>
            <a:srgbClr val="FFFF00"/>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FF"/>
                </a:solidFill>
                <a:latin typeface="Arial"/>
                <a:ea typeface="Arial"/>
                <a:cs typeface="Arial"/>
              </a:rPr>
              <a:t>87</a:t>
            </a:r>
            <a:r>
              <a:rPr lang="en-US" cap="none" sz="1000" b="0" i="0" u="none" baseline="0">
                <a:solidFill>
                  <a:srgbClr val="0000FF"/>
                </a:solidFill>
                <a:latin typeface="Arial"/>
                <a:ea typeface="Arial"/>
                <a:cs typeface="Arial"/>
              </a:rPr>
              <a:t>Fr</a:t>
            </a:r>
          </a:p>
        </xdr:txBody>
      </xdr:sp>
      <xdr:sp macro="[0]!Sheet1.Element57_Click">
        <xdr:nvSpPr>
          <xdr:cNvPr id="14" name="Rectangle 32"/>
          <xdr:cNvSpPr>
            <a:spLocks/>
          </xdr:cNvSpPr>
        </xdr:nvSpPr>
        <xdr:spPr>
          <a:xfrm>
            <a:off x="215" y="147"/>
            <a:ext cx="35" cy="19"/>
          </a:xfrm>
          <a:prstGeom prst="rect">
            <a:avLst/>
          </a:prstGeom>
          <a:solidFill>
            <a:srgbClr val="00FF00"/>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57</a:t>
            </a:r>
            <a:r>
              <a:rPr lang="en-US" cap="none" sz="1000" b="0" i="0" u="none" baseline="0">
                <a:solidFill>
                  <a:srgbClr val="000000"/>
                </a:solidFill>
                <a:latin typeface="Arial"/>
                <a:ea typeface="Arial"/>
                <a:cs typeface="Arial"/>
              </a:rPr>
              <a:t>La</a:t>
            </a:r>
          </a:p>
        </xdr:txBody>
      </xdr:sp>
      <xdr:sp macro="[0]!Sheet1.Element58_Click">
        <xdr:nvSpPr>
          <xdr:cNvPr id="15" name="Rectangle 33"/>
          <xdr:cNvSpPr>
            <a:spLocks/>
          </xdr:cNvSpPr>
        </xdr:nvSpPr>
        <xdr:spPr>
          <a:xfrm>
            <a:off x="250" y="147"/>
            <a:ext cx="35" cy="19"/>
          </a:xfrm>
          <a:prstGeom prst="rect">
            <a:avLst/>
          </a:prstGeom>
          <a:solidFill>
            <a:srgbClr val="00FF00"/>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58</a:t>
            </a:r>
            <a:r>
              <a:rPr lang="en-US" cap="none" sz="1000" b="0" i="0" u="none" baseline="0">
                <a:solidFill>
                  <a:srgbClr val="000000"/>
                </a:solidFill>
                <a:latin typeface="Arial"/>
                <a:ea typeface="Arial"/>
                <a:cs typeface="Arial"/>
              </a:rPr>
              <a:t>Ce</a:t>
            </a:r>
          </a:p>
        </xdr:txBody>
      </xdr:sp>
      <xdr:sp macro="[0]!Sheet1.Element59_Click">
        <xdr:nvSpPr>
          <xdr:cNvPr id="16" name="Rectangle 34"/>
          <xdr:cNvSpPr>
            <a:spLocks/>
          </xdr:cNvSpPr>
        </xdr:nvSpPr>
        <xdr:spPr>
          <a:xfrm>
            <a:off x="285" y="147"/>
            <a:ext cx="35" cy="19"/>
          </a:xfrm>
          <a:prstGeom prst="rect">
            <a:avLst/>
          </a:prstGeom>
          <a:solidFill>
            <a:srgbClr val="00FF00"/>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59</a:t>
            </a:r>
            <a:r>
              <a:rPr lang="en-US" cap="none" sz="1000" b="0" i="0" u="none" baseline="0">
                <a:solidFill>
                  <a:srgbClr val="000000"/>
                </a:solidFill>
                <a:latin typeface="Arial"/>
                <a:ea typeface="Arial"/>
                <a:cs typeface="Arial"/>
              </a:rPr>
              <a:t>Pr</a:t>
            </a:r>
          </a:p>
        </xdr:txBody>
      </xdr:sp>
      <xdr:sp macro="[0]!Sheet1.Element60_Click">
        <xdr:nvSpPr>
          <xdr:cNvPr id="17" name="Rectangle 35"/>
          <xdr:cNvSpPr>
            <a:spLocks/>
          </xdr:cNvSpPr>
        </xdr:nvSpPr>
        <xdr:spPr>
          <a:xfrm>
            <a:off x="320" y="147"/>
            <a:ext cx="35" cy="19"/>
          </a:xfrm>
          <a:prstGeom prst="rect">
            <a:avLst/>
          </a:prstGeom>
          <a:solidFill>
            <a:srgbClr val="00FF00"/>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60</a:t>
            </a:r>
            <a:r>
              <a:rPr lang="en-US" cap="none" sz="1000" b="0" i="0" u="none" baseline="0">
                <a:solidFill>
                  <a:srgbClr val="000000"/>
                </a:solidFill>
                <a:latin typeface="Arial"/>
                <a:ea typeface="Arial"/>
                <a:cs typeface="Arial"/>
              </a:rPr>
              <a:t>Nd</a:t>
            </a:r>
          </a:p>
        </xdr:txBody>
      </xdr:sp>
      <xdr:sp macro="[0]!Sheet1.Element61_Click">
        <xdr:nvSpPr>
          <xdr:cNvPr id="18" name="Rectangle 36"/>
          <xdr:cNvSpPr>
            <a:spLocks/>
          </xdr:cNvSpPr>
        </xdr:nvSpPr>
        <xdr:spPr>
          <a:xfrm>
            <a:off x="355" y="147"/>
            <a:ext cx="38" cy="19"/>
          </a:xfrm>
          <a:prstGeom prst="rect">
            <a:avLst/>
          </a:prstGeom>
          <a:solidFill>
            <a:srgbClr val="00FF00"/>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808080"/>
                </a:solidFill>
                <a:latin typeface="Arial"/>
                <a:ea typeface="Arial"/>
                <a:cs typeface="Arial"/>
              </a:rPr>
              <a:t>61</a:t>
            </a:r>
            <a:r>
              <a:rPr lang="en-US" cap="none" sz="1000" b="0" i="0" u="none" baseline="0">
                <a:solidFill>
                  <a:srgbClr val="808080"/>
                </a:solidFill>
                <a:latin typeface="Arial"/>
                <a:ea typeface="Arial"/>
                <a:cs typeface="Arial"/>
              </a:rPr>
              <a:t>Pm</a:t>
            </a:r>
          </a:p>
        </xdr:txBody>
      </xdr:sp>
      <xdr:sp macro="[0]!Sheet1.Element62_Click">
        <xdr:nvSpPr>
          <xdr:cNvPr id="19" name="Rectangle 37"/>
          <xdr:cNvSpPr>
            <a:spLocks/>
          </xdr:cNvSpPr>
        </xdr:nvSpPr>
        <xdr:spPr>
          <a:xfrm>
            <a:off x="393" y="147"/>
            <a:ext cx="37" cy="19"/>
          </a:xfrm>
          <a:prstGeom prst="rect">
            <a:avLst/>
          </a:prstGeom>
          <a:solidFill>
            <a:srgbClr val="00FF00"/>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62</a:t>
            </a:r>
            <a:r>
              <a:rPr lang="en-US" cap="none" sz="1000" b="0" i="0" u="none" baseline="0">
                <a:solidFill>
                  <a:srgbClr val="000000"/>
                </a:solidFill>
                <a:latin typeface="Arial"/>
                <a:ea typeface="Arial"/>
                <a:cs typeface="Arial"/>
              </a:rPr>
              <a:t>Sm</a:t>
            </a:r>
          </a:p>
        </xdr:txBody>
      </xdr:sp>
      <xdr:sp macro="[0]!Sheet1.Element63_Click">
        <xdr:nvSpPr>
          <xdr:cNvPr id="20" name="Rectangle 38"/>
          <xdr:cNvSpPr>
            <a:spLocks/>
          </xdr:cNvSpPr>
        </xdr:nvSpPr>
        <xdr:spPr>
          <a:xfrm>
            <a:off x="430" y="147"/>
            <a:ext cx="37" cy="19"/>
          </a:xfrm>
          <a:prstGeom prst="rect">
            <a:avLst/>
          </a:prstGeom>
          <a:solidFill>
            <a:srgbClr val="00FF00"/>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63</a:t>
            </a:r>
            <a:r>
              <a:rPr lang="en-US" cap="none" sz="1000" b="0" i="0" u="none" baseline="0">
                <a:solidFill>
                  <a:srgbClr val="000000"/>
                </a:solidFill>
                <a:latin typeface="Arial"/>
                <a:ea typeface="Arial"/>
                <a:cs typeface="Arial"/>
              </a:rPr>
              <a:t>Eu</a:t>
            </a:r>
          </a:p>
        </xdr:txBody>
      </xdr:sp>
      <xdr:sp macro="[0]!Sheet1.Element64_Click">
        <xdr:nvSpPr>
          <xdr:cNvPr id="21" name="Rectangle 39"/>
          <xdr:cNvSpPr>
            <a:spLocks/>
          </xdr:cNvSpPr>
        </xdr:nvSpPr>
        <xdr:spPr>
          <a:xfrm>
            <a:off x="467" y="147"/>
            <a:ext cx="36" cy="19"/>
          </a:xfrm>
          <a:prstGeom prst="rect">
            <a:avLst/>
          </a:prstGeom>
          <a:solidFill>
            <a:srgbClr val="00FF00"/>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64</a:t>
            </a:r>
            <a:r>
              <a:rPr lang="en-US" cap="none" sz="1000" b="0" i="0" u="none" baseline="0">
                <a:solidFill>
                  <a:srgbClr val="000000"/>
                </a:solidFill>
                <a:latin typeface="Arial"/>
                <a:ea typeface="Arial"/>
                <a:cs typeface="Arial"/>
              </a:rPr>
              <a:t>Gd</a:t>
            </a:r>
          </a:p>
        </xdr:txBody>
      </xdr:sp>
      <xdr:sp macro="[0]!Sheet1.Element65_Click">
        <xdr:nvSpPr>
          <xdr:cNvPr id="22" name="Rectangle 40"/>
          <xdr:cNvSpPr>
            <a:spLocks/>
          </xdr:cNvSpPr>
        </xdr:nvSpPr>
        <xdr:spPr>
          <a:xfrm>
            <a:off x="503" y="147"/>
            <a:ext cx="36" cy="19"/>
          </a:xfrm>
          <a:prstGeom prst="rect">
            <a:avLst/>
          </a:prstGeom>
          <a:solidFill>
            <a:srgbClr val="00FF00"/>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65</a:t>
            </a:r>
            <a:r>
              <a:rPr lang="en-US" cap="none" sz="1000" b="0" i="0" u="none" baseline="0">
                <a:solidFill>
                  <a:srgbClr val="000000"/>
                </a:solidFill>
                <a:latin typeface="Arial"/>
                <a:ea typeface="Arial"/>
                <a:cs typeface="Arial"/>
              </a:rPr>
              <a:t>Tb</a:t>
            </a:r>
          </a:p>
        </xdr:txBody>
      </xdr:sp>
      <xdr:sp macro="[0]!Sheet1.Element66_Click">
        <xdr:nvSpPr>
          <xdr:cNvPr id="23" name="Rectangle 41"/>
          <xdr:cNvSpPr>
            <a:spLocks/>
          </xdr:cNvSpPr>
        </xdr:nvSpPr>
        <xdr:spPr>
          <a:xfrm>
            <a:off x="539" y="147"/>
            <a:ext cx="35" cy="19"/>
          </a:xfrm>
          <a:prstGeom prst="rect">
            <a:avLst/>
          </a:prstGeom>
          <a:solidFill>
            <a:srgbClr val="00FF00"/>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66</a:t>
            </a:r>
            <a:r>
              <a:rPr lang="en-US" cap="none" sz="1000" b="0" i="0" u="none" baseline="0">
                <a:solidFill>
                  <a:srgbClr val="000000"/>
                </a:solidFill>
                <a:latin typeface="Arial"/>
                <a:ea typeface="Arial"/>
                <a:cs typeface="Arial"/>
              </a:rPr>
              <a:t>Dy</a:t>
            </a:r>
          </a:p>
        </xdr:txBody>
      </xdr:sp>
      <xdr:sp macro="[0]!Sheet1.Element67_Click">
        <xdr:nvSpPr>
          <xdr:cNvPr id="24" name="Rectangle 42"/>
          <xdr:cNvSpPr>
            <a:spLocks/>
          </xdr:cNvSpPr>
        </xdr:nvSpPr>
        <xdr:spPr>
          <a:xfrm>
            <a:off x="574" y="147"/>
            <a:ext cx="35" cy="19"/>
          </a:xfrm>
          <a:prstGeom prst="rect">
            <a:avLst/>
          </a:prstGeom>
          <a:solidFill>
            <a:srgbClr val="00FF00"/>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67</a:t>
            </a:r>
            <a:r>
              <a:rPr lang="en-US" cap="none" sz="1000" b="0" i="0" u="none" baseline="0">
                <a:solidFill>
                  <a:srgbClr val="000000"/>
                </a:solidFill>
                <a:latin typeface="Arial"/>
                <a:ea typeface="Arial"/>
                <a:cs typeface="Arial"/>
              </a:rPr>
              <a:t>Ho</a:t>
            </a:r>
          </a:p>
        </xdr:txBody>
      </xdr:sp>
      <xdr:sp macro="[0]!Sheet1.Element68_Click">
        <xdr:nvSpPr>
          <xdr:cNvPr id="25" name="Rectangle 43"/>
          <xdr:cNvSpPr>
            <a:spLocks/>
          </xdr:cNvSpPr>
        </xdr:nvSpPr>
        <xdr:spPr>
          <a:xfrm>
            <a:off x="609" y="147"/>
            <a:ext cx="39" cy="19"/>
          </a:xfrm>
          <a:prstGeom prst="rect">
            <a:avLst/>
          </a:prstGeom>
          <a:solidFill>
            <a:srgbClr val="00FF00"/>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68</a:t>
            </a:r>
            <a:r>
              <a:rPr lang="en-US" cap="none" sz="1000" b="0" i="0" u="none" baseline="0">
                <a:solidFill>
                  <a:srgbClr val="000000"/>
                </a:solidFill>
                <a:latin typeface="Arial"/>
                <a:ea typeface="Arial"/>
                <a:cs typeface="Arial"/>
              </a:rPr>
              <a:t>Er</a:t>
            </a:r>
          </a:p>
        </xdr:txBody>
      </xdr:sp>
      <xdr:sp macro="[0]!Sheet1.Element69_Click">
        <xdr:nvSpPr>
          <xdr:cNvPr id="26" name="Rectangle 44"/>
          <xdr:cNvSpPr>
            <a:spLocks/>
          </xdr:cNvSpPr>
        </xdr:nvSpPr>
        <xdr:spPr>
          <a:xfrm>
            <a:off x="648" y="147"/>
            <a:ext cx="39" cy="19"/>
          </a:xfrm>
          <a:prstGeom prst="rect">
            <a:avLst/>
          </a:prstGeom>
          <a:solidFill>
            <a:srgbClr val="00FF00"/>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69</a:t>
            </a:r>
            <a:r>
              <a:rPr lang="en-US" cap="none" sz="1000" b="0" i="0" u="none" baseline="0">
                <a:solidFill>
                  <a:srgbClr val="000000"/>
                </a:solidFill>
                <a:latin typeface="Arial"/>
                <a:ea typeface="Arial"/>
                <a:cs typeface="Arial"/>
              </a:rPr>
              <a:t>Tm</a:t>
            </a:r>
          </a:p>
        </xdr:txBody>
      </xdr:sp>
      <xdr:sp macro="[0]!Sheet1.Element70_Click">
        <xdr:nvSpPr>
          <xdr:cNvPr id="27" name="Rectangle 45"/>
          <xdr:cNvSpPr>
            <a:spLocks/>
          </xdr:cNvSpPr>
        </xdr:nvSpPr>
        <xdr:spPr>
          <a:xfrm>
            <a:off x="687" y="147"/>
            <a:ext cx="39" cy="19"/>
          </a:xfrm>
          <a:prstGeom prst="rect">
            <a:avLst/>
          </a:prstGeom>
          <a:solidFill>
            <a:srgbClr val="00FF00"/>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70</a:t>
            </a:r>
            <a:r>
              <a:rPr lang="en-US" cap="none" sz="1000" b="0" i="0" u="none" baseline="0">
                <a:solidFill>
                  <a:srgbClr val="000000"/>
                </a:solidFill>
                <a:latin typeface="Arial"/>
                <a:ea typeface="Arial"/>
                <a:cs typeface="Arial"/>
              </a:rPr>
              <a:t>Yb</a:t>
            </a:r>
          </a:p>
        </xdr:txBody>
      </xdr:sp>
      <xdr:sp macro="[0]!Sheet1.Element71_Click">
        <xdr:nvSpPr>
          <xdr:cNvPr id="28" name="Rectangle 46"/>
          <xdr:cNvSpPr>
            <a:spLocks/>
          </xdr:cNvSpPr>
        </xdr:nvSpPr>
        <xdr:spPr>
          <a:xfrm>
            <a:off x="726" y="147"/>
            <a:ext cx="37" cy="19"/>
          </a:xfrm>
          <a:prstGeom prst="rect">
            <a:avLst/>
          </a:prstGeom>
          <a:solidFill>
            <a:srgbClr val="00FF00"/>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71</a:t>
            </a:r>
            <a:r>
              <a:rPr lang="en-US" cap="none" sz="1000" b="0" i="0" u="none" baseline="0">
                <a:solidFill>
                  <a:srgbClr val="000000"/>
                </a:solidFill>
                <a:latin typeface="Arial"/>
                <a:ea typeface="Arial"/>
                <a:cs typeface="Arial"/>
              </a:rPr>
              <a:t>Lu</a:t>
            </a:r>
          </a:p>
        </xdr:txBody>
      </xdr:sp>
      <xdr:sp macro="[0]!Sheet1.Element1_Click">
        <xdr:nvSpPr>
          <xdr:cNvPr id="29" name="Rectangle 47"/>
          <xdr:cNvSpPr>
            <a:spLocks/>
          </xdr:cNvSpPr>
        </xdr:nvSpPr>
        <xdr:spPr>
          <a:xfrm>
            <a:off x="110" y="7"/>
            <a:ext cx="35" cy="20"/>
          </a:xfrm>
          <a:prstGeom prst="rect">
            <a:avLst/>
          </a:prstGeom>
          <a:solidFill>
            <a:srgbClr val="FFFF00"/>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FF0000"/>
                </a:solidFill>
                <a:latin typeface="Arial"/>
                <a:ea typeface="Arial"/>
                <a:cs typeface="Arial"/>
              </a:rPr>
              <a:t>1</a:t>
            </a:r>
            <a:r>
              <a:rPr lang="en-US" cap="none" sz="1000" b="0" i="0" u="none" baseline="0">
                <a:solidFill>
                  <a:srgbClr val="FF0000"/>
                </a:solidFill>
                <a:latin typeface="Arial"/>
                <a:ea typeface="Arial"/>
                <a:cs typeface="Arial"/>
              </a:rPr>
              <a:t>H</a:t>
            </a:r>
          </a:p>
        </xdr:txBody>
      </xdr:sp>
      <xdr:sp macro="[0]!Sheet1.Element4_Click">
        <xdr:nvSpPr>
          <xdr:cNvPr id="30" name="Rectangle 48"/>
          <xdr:cNvSpPr>
            <a:spLocks/>
          </xdr:cNvSpPr>
        </xdr:nvSpPr>
        <xdr:spPr>
          <a:xfrm>
            <a:off x="145" y="27"/>
            <a:ext cx="35" cy="19"/>
          </a:xfrm>
          <a:prstGeom prst="rect">
            <a:avLst/>
          </a:prstGeom>
          <a:solidFill>
            <a:srgbClr val="FFFF00"/>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4</a:t>
            </a:r>
            <a:r>
              <a:rPr lang="en-US" cap="none" sz="1000" b="0" i="0" u="none" baseline="0">
                <a:solidFill>
                  <a:srgbClr val="000000"/>
                </a:solidFill>
                <a:latin typeface="Arial"/>
                <a:ea typeface="Arial"/>
                <a:cs typeface="Arial"/>
              </a:rPr>
              <a:t>Be</a:t>
            </a:r>
          </a:p>
        </xdr:txBody>
      </xdr:sp>
      <xdr:sp macro="[0]!Sheet1.Element12_Click">
        <xdr:nvSpPr>
          <xdr:cNvPr id="31" name="Rectangle 49"/>
          <xdr:cNvSpPr>
            <a:spLocks/>
          </xdr:cNvSpPr>
        </xdr:nvSpPr>
        <xdr:spPr>
          <a:xfrm>
            <a:off x="145" y="46"/>
            <a:ext cx="35" cy="21"/>
          </a:xfrm>
          <a:prstGeom prst="rect">
            <a:avLst/>
          </a:prstGeom>
          <a:solidFill>
            <a:srgbClr val="FFFF00"/>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12</a:t>
            </a:r>
            <a:r>
              <a:rPr lang="en-US" cap="none" sz="1000" b="0" i="0" u="none" baseline="0">
                <a:solidFill>
                  <a:srgbClr val="000000"/>
                </a:solidFill>
                <a:latin typeface="Arial"/>
                <a:ea typeface="Arial"/>
                <a:cs typeface="Arial"/>
              </a:rPr>
              <a:t>Mg</a:t>
            </a:r>
          </a:p>
        </xdr:txBody>
      </xdr:sp>
      <xdr:sp macro="[0]!Sheet1.Element20_Click">
        <xdr:nvSpPr>
          <xdr:cNvPr id="32" name="Rectangle 50"/>
          <xdr:cNvSpPr>
            <a:spLocks/>
          </xdr:cNvSpPr>
        </xdr:nvSpPr>
        <xdr:spPr>
          <a:xfrm>
            <a:off x="145" y="67"/>
            <a:ext cx="35" cy="20"/>
          </a:xfrm>
          <a:prstGeom prst="rect">
            <a:avLst/>
          </a:prstGeom>
          <a:solidFill>
            <a:srgbClr val="FFFF00"/>
          </a:solidFill>
          <a:ln w="9525" cmpd="sng">
            <a:solidFill>
              <a:srgbClr val="000000"/>
            </a:solidFill>
            <a:headEnd type="none"/>
            <a:tailEnd type="none"/>
          </a:ln>
        </xdr:spPr>
        <xdr:txBody>
          <a:bodyPr vertOverflow="clip" wrap="square" lIns="0" tIns="0" rIns="0" bIns="0"/>
          <a:p>
            <a:pPr algn="ctr">
              <a:defRPr/>
            </a:pPr>
            <a:r>
              <a:rPr lang="en-US" cap="none" sz="1000" b="0" i="0" u="none" baseline="-25000">
                <a:solidFill>
                  <a:srgbClr val="000000"/>
                </a:solidFill>
                <a:latin typeface="Arial"/>
                <a:ea typeface="Arial"/>
                <a:cs typeface="Arial"/>
              </a:rPr>
              <a:t>20</a:t>
            </a:r>
            <a:r>
              <a:rPr lang="en-US" cap="none" sz="1000" b="0" i="0" u="none" baseline="0">
                <a:solidFill>
                  <a:srgbClr val="000000"/>
                </a:solidFill>
                <a:latin typeface="Arial"/>
                <a:ea typeface="Arial"/>
                <a:cs typeface="Arial"/>
              </a:rPr>
              <a:t>Ca</a:t>
            </a:r>
          </a:p>
        </xdr:txBody>
      </xdr:sp>
      <xdr:sp macro="[0]!Sheet1.Element38_Click">
        <xdr:nvSpPr>
          <xdr:cNvPr id="33" name="Rectangle 51"/>
          <xdr:cNvSpPr>
            <a:spLocks/>
          </xdr:cNvSpPr>
        </xdr:nvSpPr>
        <xdr:spPr>
          <a:xfrm>
            <a:off x="145" y="87"/>
            <a:ext cx="35" cy="19"/>
          </a:xfrm>
          <a:prstGeom prst="rect">
            <a:avLst/>
          </a:prstGeom>
          <a:solidFill>
            <a:srgbClr val="FFFF00"/>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38</a:t>
            </a:r>
            <a:r>
              <a:rPr lang="en-US" cap="none" sz="1000" b="0" i="0" u="none" baseline="0">
                <a:solidFill>
                  <a:srgbClr val="000000"/>
                </a:solidFill>
                <a:latin typeface="Arial"/>
                <a:ea typeface="Arial"/>
                <a:cs typeface="Arial"/>
              </a:rPr>
              <a:t>Sr</a:t>
            </a:r>
          </a:p>
        </xdr:txBody>
      </xdr:sp>
      <xdr:sp macro="[0]!Sheet1.Element56_Click">
        <xdr:nvSpPr>
          <xdr:cNvPr id="34" name="Rectangle 52"/>
          <xdr:cNvSpPr>
            <a:spLocks/>
          </xdr:cNvSpPr>
        </xdr:nvSpPr>
        <xdr:spPr>
          <a:xfrm>
            <a:off x="145" y="106"/>
            <a:ext cx="35" cy="20"/>
          </a:xfrm>
          <a:prstGeom prst="rect">
            <a:avLst/>
          </a:prstGeom>
          <a:solidFill>
            <a:srgbClr val="FFFF00"/>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56</a:t>
            </a:r>
            <a:r>
              <a:rPr lang="en-US" cap="none" sz="1000" b="0" i="0" u="none" baseline="0">
                <a:solidFill>
                  <a:srgbClr val="000000"/>
                </a:solidFill>
                <a:latin typeface="Arial"/>
                <a:ea typeface="Arial"/>
                <a:cs typeface="Arial"/>
              </a:rPr>
              <a:t>Ba</a:t>
            </a:r>
          </a:p>
        </xdr:txBody>
      </xdr:sp>
      <xdr:sp>
        <xdr:nvSpPr>
          <xdr:cNvPr id="35" name="Rectangle 53"/>
          <xdr:cNvSpPr>
            <a:spLocks/>
          </xdr:cNvSpPr>
        </xdr:nvSpPr>
        <xdr:spPr>
          <a:xfrm>
            <a:off x="145" y="126"/>
            <a:ext cx="35" cy="21"/>
          </a:xfrm>
          <a:prstGeom prst="rect">
            <a:avLst/>
          </a:prstGeom>
          <a:solidFill>
            <a:srgbClr val="FFFF00"/>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87</a:t>
            </a:r>
            <a:r>
              <a:rPr lang="en-US" cap="none" sz="1000" b="0" i="0" u="none" baseline="0">
                <a:solidFill>
                  <a:srgbClr val="000000"/>
                </a:solidFill>
                <a:latin typeface="Arial"/>
                <a:ea typeface="Arial"/>
                <a:cs typeface="Arial"/>
              </a:rPr>
              <a:t>Fr</a:t>
            </a:r>
          </a:p>
        </xdr:txBody>
      </xdr:sp>
      <xdr:sp macro="[0]!Sheet1.Element88_Click">
        <xdr:nvSpPr>
          <xdr:cNvPr id="36" name="Rectangle 54"/>
          <xdr:cNvSpPr>
            <a:spLocks/>
          </xdr:cNvSpPr>
        </xdr:nvSpPr>
        <xdr:spPr>
          <a:xfrm>
            <a:off x="145" y="126"/>
            <a:ext cx="35" cy="21"/>
          </a:xfrm>
          <a:prstGeom prst="rect">
            <a:avLst/>
          </a:prstGeom>
          <a:solidFill>
            <a:srgbClr val="FFFF00"/>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88</a:t>
            </a:r>
            <a:r>
              <a:rPr lang="en-US" cap="none" sz="1000" b="0" i="0" u="none" baseline="0">
                <a:solidFill>
                  <a:srgbClr val="000000"/>
                </a:solidFill>
                <a:latin typeface="Arial"/>
                <a:ea typeface="Arial"/>
                <a:cs typeface="Arial"/>
              </a:rPr>
              <a:t>Ra</a:t>
            </a:r>
          </a:p>
        </xdr:txBody>
      </xdr:sp>
      <xdr:sp macro="[0]!Sheet1.Element2_Click">
        <xdr:nvSpPr>
          <xdr:cNvPr id="37" name="Rectangle 55"/>
          <xdr:cNvSpPr>
            <a:spLocks/>
          </xdr:cNvSpPr>
        </xdr:nvSpPr>
        <xdr:spPr>
          <a:xfrm>
            <a:off x="726" y="7"/>
            <a:ext cx="37" cy="20"/>
          </a:xfrm>
          <a:prstGeom prst="rect">
            <a:avLst/>
          </a:prstGeom>
          <a:solidFill>
            <a:srgbClr val="00FFFF"/>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FF0000"/>
                </a:solidFill>
                <a:latin typeface="Arial"/>
                <a:ea typeface="Arial"/>
                <a:cs typeface="Arial"/>
              </a:rPr>
              <a:t>2</a:t>
            </a:r>
            <a:r>
              <a:rPr lang="en-US" cap="none" sz="1000" b="0" i="0" u="none" baseline="0">
                <a:solidFill>
                  <a:srgbClr val="FF0000"/>
                </a:solidFill>
                <a:latin typeface="Arial"/>
                <a:ea typeface="Arial"/>
                <a:cs typeface="Arial"/>
              </a:rPr>
              <a:t>He</a:t>
            </a:r>
          </a:p>
        </xdr:txBody>
      </xdr:sp>
      <xdr:sp macro="[0]!Sheet1.Element21_Click">
        <xdr:nvSpPr>
          <xdr:cNvPr id="38" name="Rectangle 56"/>
          <xdr:cNvSpPr>
            <a:spLocks/>
          </xdr:cNvSpPr>
        </xdr:nvSpPr>
        <xdr:spPr>
          <a:xfrm>
            <a:off x="180" y="67"/>
            <a:ext cx="35" cy="20"/>
          </a:xfrm>
          <a:prstGeom prst="rect">
            <a:avLst/>
          </a:prstGeom>
          <a:solidFill>
            <a:srgbClr val="CC99FF"/>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21</a:t>
            </a:r>
            <a:r>
              <a:rPr lang="en-US" cap="none" sz="1000" b="0" i="0" u="none" baseline="0">
                <a:solidFill>
                  <a:srgbClr val="000000"/>
                </a:solidFill>
                <a:latin typeface="Arial"/>
                <a:ea typeface="Arial"/>
                <a:cs typeface="Arial"/>
              </a:rPr>
              <a:t>Sc</a:t>
            </a:r>
          </a:p>
        </xdr:txBody>
      </xdr:sp>
      <xdr:sp macro="[0]!Sheet1.Element39_Click">
        <xdr:nvSpPr>
          <xdr:cNvPr id="39" name="Rectangle 57"/>
          <xdr:cNvSpPr>
            <a:spLocks/>
          </xdr:cNvSpPr>
        </xdr:nvSpPr>
        <xdr:spPr>
          <a:xfrm>
            <a:off x="180" y="87"/>
            <a:ext cx="35" cy="19"/>
          </a:xfrm>
          <a:prstGeom prst="rect">
            <a:avLst/>
          </a:prstGeom>
          <a:solidFill>
            <a:srgbClr val="CC99FF"/>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39</a:t>
            </a:r>
            <a:r>
              <a:rPr lang="en-US" cap="none" sz="1000" b="0" i="0" u="none" baseline="0">
                <a:solidFill>
                  <a:srgbClr val="000000"/>
                </a:solidFill>
                <a:latin typeface="Arial"/>
                <a:ea typeface="Arial"/>
                <a:cs typeface="Arial"/>
              </a:rPr>
              <a:t>Y</a:t>
            </a:r>
          </a:p>
        </xdr:txBody>
      </xdr:sp>
      <xdr:sp macro="[0]!Sheet1.Element72_Click">
        <xdr:nvSpPr>
          <xdr:cNvPr id="40" name="Rectangle 58"/>
          <xdr:cNvSpPr>
            <a:spLocks/>
          </xdr:cNvSpPr>
        </xdr:nvSpPr>
        <xdr:spPr>
          <a:xfrm>
            <a:off x="215" y="106"/>
            <a:ext cx="35" cy="20"/>
          </a:xfrm>
          <a:prstGeom prst="rect">
            <a:avLst/>
          </a:prstGeom>
          <a:solidFill>
            <a:srgbClr val="CC99FF"/>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72</a:t>
            </a:r>
            <a:r>
              <a:rPr lang="en-US" cap="none" sz="1000" b="0" i="0" u="none" baseline="0">
                <a:solidFill>
                  <a:srgbClr val="000000"/>
                </a:solidFill>
                <a:latin typeface="Arial"/>
                <a:ea typeface="Arial"/>
                <a:cs typeface="Arial"/>
              </a:rPr>
              <a:t>Hf</a:t>
            </a:r>
          </a:p>
        </xdr:txBody>
      </xdr:sp>
      <xdr:sp macro="[0]!Sheet1.Element22_Click">
        <xdr:nvSpPr>
          <xdr:cNvPr id="41" name="Rectangle 59"/>
          <xdr:cNvSpPr>
            <a:spLocks/>
          </xdr:cNvSpPr>
        </xdr:nvSpPr>
        <xdr:spPr>
          <a:xfrm>
            <a:off x="215" y="67"/>
            <a:ext cx="35" cy="20"/>
          </a:xfrm>
          <a:prstGeom prst="rect">
            <a:avLst/>
          </a:prstGeom>
          <a:solidFill>
            <a:srgbClr val="CC99FF"/>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22</a:t>
            </a:r>
            <a:r>
              <a:rPr lang="en-US" cap="none" sz="1000" b="0" i="0" u="none" baseline="0">
                <a:solidFill>
                  <a:srgbClr val="000000"/>
                </a:solidFill>
                <a:latin typeface="Arial"/>
                <a:ea typeface="Arial"/>
                <a:cs typeface="Arial"/>
              </a:rPr>
              <a:t>Ti</a:t>
            </a:r>
          </a:p>
        </xdr:txBody>
      </xdr:sp>
      <xdr:sp macro="[0]!Sheet1.Element40_Click">
        <xdr:nvSpPr>
          <xdr:cNvPr id="42" name="Rectangle 60"/>
          <xdr:cNvSpPr>
            <a:spLocks/>
          </xdr:cNvSpPr>
        </xdr:nvSpPr>
        <xdr:spPr>
          <a:xfrm>
            <a:off x="215" y="87"/>
            <a:ext cx="35" cy="19"/>
          </a:xfrm>
          <a:prstGeom prst="rect">
            <a:avLst/>
          </a:prstGeom>
          <a:solidFill>
            <a:srgbClr val="CC99FF"/>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40</a:t>
            </a:r>
            <a:r>
              <a:rPr lang="en-US" cap="none" sz="1000" b="0" i="0" u="none" baseline="0">
                <a:solidFill>
                  <a:srgbClr val="000000"/>
                </a:solidFill>
                <a:latin typeface="Arial"/>
                <a:ea typeface="Arial"/>
                <a:cs typeface="Arial"/>
              </a:rPr>
              <a:t>Zr</a:t>
            </a:r>
          </a:p>
        </xdr:txBody>
      </xdr:sp>
      <xdr:sp macro="[0]!Sheet1.Element73_Click">
        <xdr:nvSpPr>
          <xdr:cNvPr id="43" name="Rectangle 61"/>
          <xdr:cNvSpPr>
            <a:spLocks/>
          </xdr:cNvSpPr>
        </xdr:nvSpPr>
        <xdr:spPr>
          <a:xfrm>
            <a:off x="250" y="106"/>
            <a:ext cx="35" cy="20"/>
          </a:xfrm>
          <a:prstGeom prst="rect">
            <a:avLst/>
          </a:prstGeom>
          <a:solidFill>
            <a:srgbClr val="CC99FF"/>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73</a:t>
            </a:r>
            <a:r>
              <a:rPr lang="en-US" cap="none" sz="1000" b="0" i="0" u="none" baseline="0">
                <a:solidFill>
                  <a:srgbClr val="000000"/>
                </a:solidFill>
                <a:latin typeface="Arial"/>
                <a:ea typeface="Arial"/>
                <a:cs typeface="Arial"/>
              </a:rPr>
              <a:t>Ta</a:t>
            </a:r>
          </a:p>
        </xdr:txBody>
      </xdr:sp>
      <xdr:sp macro="[0]!Sheet1.Element23_Click">
        <xdr:nvSpPr>
          <xdr:cNvPr id="44" name="Rectangle 62"/>
          <xdr:cNvSpPr>
            <a:spLocks/>
          </xdr:cNvSpPr>
        </xdr:nvSpPr>
        <xdr:spPr>
          <a:xfrm>
            <a:off x="250" y="67"/>
            <a:ext cx="35" cy="20"/>
          </a:xfrm>
          <a:prstGeom prst="rect">
            <a:avLst/>
          </a:prstGeom>
          <a:solidFill>
            <a:srgbClr val="CC99FF"/>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23</a:t>
            </a:r>
            <a:r>
              <a:rPr lang="en-US" cap="none" sz="1000" b="0" i="0" u="none" baseline="0">
                <a:solidFill>
                  <a:srgbClr val="000000"/>
                </a:solidFill>
                <a:latin typeface="Arial"/>
                <a:ea typeface="Arial"/>
                <a:cs typeface="Arial"/>
              </a:rPr>
              <a:t>V</a:t>
            </a:r>
          </a:p>
        </xdr:txBody>
      </xdr:sp>
      <xdr:sp macro="[0]!Sheet1.Element41_Click">
        <xdr:nvSpPr>
          <xdr:cNvPr id="45" name="Rectangle 63"/>
          <xdr:cNvSpPr>
            <a:spLocks/>
          </xdr:cNvSpPr>
        </xdr:nvSpPr>
        <xdr:spPr>
          <a:xfrm>
            <a:off x="250" y="87"/>
            <a:ext cx="35" cy="19"/>
          </a:xfrm>
          <a:prstGeom prst="rect">
            <a:avLst/>
          </a:prstGeom>
          <a:solidFill>
            <a:srgbClr val="CC99FF"/>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41</a:t>
            </a:r>
            <a:r>
              <a:rPr lang="en-US" cap="none" sz="1000" b="0" i="0" u="none" baseline="0">
                <a:solidFill>
                  <a:srgbClr val="000000"/>
                </a:solidFill>
                <a:latin typeface="Arial"/>
                <a:ea typeface="Arial"/>
                <a:cs typeface="Arial"/>
              </a:rPr>
              <a:t>Nb</a:t>
            </a:r>
          </a:p>
        </xdr:txBody>
      </xdr:sp>
      <xdr:sp macro="[0]!Sheet1.Element74_Click">
        <xdr:nvSpPr>
          <xdr:cNvPr id="46" name="Rectangle 64"/>
          <xdr:cNvSpPr>
            <a:spLocks/>
          </xdr:cNvSpPr>
        </xdr:nvSpPr>
        <xdr:spPr>
          <a:xfrm>
            <a:off x="285" y="106"/>
            <a:ext cx="35" cy="20"/>
          </a:xfrm>
          <a:prstGeom prst="rect">
            <a:avLst/>
          </a:prstGeom>
          <a:solidFill>
            <a:srgbClr val="CC99FF"/>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74</a:t>
            </a:r>
            <a:r>
              <a:rPr lang="en-US" cap="none" sz="1000" b="0" i="0" u="none" baseline="0">
                <a:solidFill>
                  <a:srgbClr val="000000"/>
                </a:solidFill>
                <a:latin typeface="Arial"/>
                <a:ea typeface="Arial"/>
                <a:cs typeface="Arial"/>
              </a:rPr>
              <a:t>W</a:t>
            </a:r>
          </a:p>
        </xdr:txBody>
      </xdr:sp>
      <xdr:sp macro="[0]!Sheet1.Element24_Click">
        <xdr:nvSpPr>
          <xdr:cNvPr id="47" name="Rectangle 65"/>
          <xdr:cNvSpPr>
            <a:spLocks/>
          </xdr:cNvSpPr>
        </xdr:nvSpPr>
        <xdr:spPr>
          <a:xfrm>
            <a:off x="285" y="67"/>
            <a:ext cx="35" cy="20"/>
          </a:xfrm>
          <a:prstGeom prst="rect">
            <a:avLst/>
          </a:prstGeom>
          <a:solidFill>
            <a:srgbClr val="CC99FF"/>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24</a:t>
            </a:r>
            <a:r>
              <a:rPr lang="en-US" cap="none" sz="1000" b="0" i="0" u="none" baseline="0">
                <a:solidFill>
                  <a:srgbClr val="000000"/>
                </a:solidFill>
                <a:latin typeface="Arial"/>
                <a:ea typeface="Arial"/>
                <a:cs typeface="Arial"/>
              </a:rPr>
              <a:t>Cr</a:t>
            </a:r>
          </a:p>
        </xdr:txBody>
      </xdr:sp>
      <xdr:sp macro="[0]!Sheet1.Element42_Click">
        <xdr:nvSpPr>
          <xdr:cNvPr id="48" name="Rectangle 66"/>
          <xdr:cNvSpPr>
            <a:spLocks/>
          </xdr:cNvSpPr>
        </xdr:nvSpPr>
        <xdr:spPr>
          <a:xfrm>
            <a:off x="285" y="87"/>
            <a:ext cx="35" cy="19"/>
          </a:xfrm>
          <a:prstGeom prst="rect">
            <a:avLst/>
          </a:prstGeom>
          <a:solidFill>
            <a:srgbClr val="CC99FF"/>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42</a:t>
            </a:r>
            <a:r>
              <a:rPr lang="en-US" cap="none" sz="1000" b="0" i="0" u="none" baseline="0">
                <a:solidFill>
                  <a:srgbClr val="000000"/>
                </a:solidFill>
                <a:latin typeface="Arial"/>
                <a:ea typeface="Arial"/>
                <a:cs typeface="Arial"/>
              </a:rPr>
              <a:t>Mo</a:t>
            </a:r>
          </a:p>
        </xdr:txBody>
      </xdr:sp>
      <xdr:sp macro="[0]!Sheet1.Element75_Click">
        <xdr:nvSpPr>
          <xdr:cNvPr id="49" name="Rectangle 67"/>
          <xdr:cNvSpPr>
            <a:spLocks/>
          </xdr:cNvSpPr>
        </xdr:nvSpPr>
        <xdr:spPr>
          <a:xfrm>
            <a:off x="320" y="106"/>
            <a:ext cx="35" cy="20"/>
          </a:xfrm>
          <a:prstGeom prst="rect">
            <a:avLst/>
          </a:prstGeom>
          <a:solidFill>
            <a:srgbClr val="CC99FF"/>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75</a:t>
            </a:r>
            <a:r>
              <a:rPr lang="en-US" cap="none" sz="1000" b="0" i="0" u="none" baseline="0">
                <a:solidFill>
                  <a:srgbClr val="000000"/>
                </a:solidFill>
                <a:latin typeface="Arial"/>
                <a:ea typeface="Arial"/>
                <a:cs typeface="Arial"/>
              </a:rPr>
              <a:t>Re</a:t>
            </a:r>
          </a:p>
        </xdr:txBody>
      </xdr:sp>
      <xdr:sp macro="[0]!Sheet1.Element25_Click">
        <xdr:nvSpPr>
          <xdr:cNvPr id="50" name="Rectangle 68"/>
          <xdr:cNvSpPr>
            <a:spLocks/>
          </xdr:cNvSpPr>
        </xdr:nvSpPr>
        <xdr:spPr>
          <a:xfrm>
            <a:off x="320" y="67"/>
            <a:ext cx="35" cy="20"/>
          </a:xfrm>
          <a:prstGeom prst="rect">
            <a:avLst/>
          </a:prstGeom>
          <a:solidFill>
            <a:srgbClr val="CC99FF"/>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25</a:t>
            </a:r>
            <a:r>
              <a:rPr lang="en-US" cap="none" sz="1000" b="0" i="0" u="none" baseline="0">
                <a:solidFill>
                  <a:srgbClr val="000000"/>
                </a:solidFill>
                <a:latin typeface="Arial"/>
                <a:ea typeface="Arial"/>
                <a:cs typeface="Arial"/>
              </a:rPr>
              <a:t>Mn</a:t>
            </a:r>
          </a:p>
        </xdr:txBody>
      </xdr:sp>
      <xdr:sp macro="[0]!Sheet1.Element43_Click">
        <xdr:nvSpPr>
          <xdr:cNvPr id="51" name="Rectangle 69"/>
          <xdr:cNvSpPr>
            <a:spLocks/>
          </xdr:cNvSpPr>
        </xdr:nvSpPr>
        <xdr:spPr>
          <a:xfrm>
            <a:off x="320" y="87"/>
            <a:ext cx="35" cy="19"/>
          </a:xfrm>
          <a:prstGeom prst="rect">
            <a:avLst/>
          </a:prstGeom>
          <a:solidFill>
            <a:srgbClr val="CC99FF"/>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808080"/>
                </a:solidFill>
                <a:latin typeface="Arial"/>
                <a:ea typeface="Arial"/>
                <a:cs typeface="Arial"/>
              </a:rPr>
              <a:t>43</a:t>
            </a:r>
            <a:r>
              <a:rPr lang="en-US" cap="none" sz="1000" b="0" i="0" u="none" baseline="0">
                <a:solidFill>
                  <a:srgbClr val="808080"/>
                </a:solidFill>
                <a:latin typeface="Arial"/>
                <a:ea typeface="Arial"/>
                <a:cs typeface="Arial"/>
              </a:rPr>
              <a:t>Tc</a:t>
            </a:r>
          </a:p>
        </xdr:txBody>
      </xdr:sp>
      <xdr:sp macro="[0]!Sheet1.Element76_Click">
        <xdr:nvSpPr>
          <xdr:cNvPr id="52" name="Rectangle 70"/>
          <xdr:cNvSpPr>
            <a:spLocks/>
          </xdr:cNvSpPr>
        </xdr:nvSpPr>
        <xdr:spPr>
          <a:xfrm>
            <a:off x="355" y="106"/>
            <a:ext cx="38" cy="20"/>
          </a:xfrm>
          <a:prstGeom prst="rect">
            <a:avLst/>
          </a:prstGeom>
          <a:solidFill>
            <a:srgbClr val="CC99FF"/>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76</a:t>
            </a:r>
            <a:r>
              <a:rPr lang="en-US" cap="none" sz="1000" b="0" i="0" u="none" baseline="0">
                <a:solidFill>
                  <a:srgbClr val="000000"/>
                </a:solidFill>
                <a:latin typeface="Arial"/>
                <a:ea typeface="Arial"/>
                <a:cs typeface="Arial"/>
              </a:rPr>
              <a:t>Os</a:t>
            </a:r>
          </a:p>
        </xdr:txBody>
      </xdr:sp>
      <xdr:sp macro="[0]!Sheet1.Element26_Click">
        <xdr:nvSpPr>
          <xdr:cNvPr id="53" name="Rectangle 71"/>
          <xdr:cNvSpPr>
            <a:spLocks/>
          </xdr:cNvSpPr>
        </xdr:nvSpPr>
        <xdr:spPr>
          <a:xfrm>
            <a:off x="355" y="67"/>
            <a:ext cx="38" cy="20"/>
          </a:xfrm>
          <a:prstGeom prst="rect">
            <a:avLst/>
          </a:prstGeom>
          <a:solidFill>
            <a:srgbClr val="CC99FF"/>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26</a:t>
            </a:r>
            <a:r>
              <a:rPr lang="en-US" cap="none" sz="1000" b="0" i="0" u="none" baseline="0">
                <a:solidFill>
                  <a:srgbClr val="000000"/>
                </a:solidFill>
                <a:latin typeface="Arial"/>
                <a:ea typeface="Arial"/>
                <a:cs typeface="Arial"/>
              </a:rPr>
              <a:t>Fe</a:t>
            </a:r>
          </a:p>
        </xdr:txBody>
      </xdr:sp>
      <xdr:sp macro="[0]!Sheet1.Element44_Click">
        <xdr:nvSpPr>
          <xdr:cNvPr id="54" name="Rectangle 72"/>
          <xdr:cNvSpPr>
            <a:spLocks/>
          </xdr:cNvSpPr>
        </xdr:nvSpPr>
        <xdr:spPr>
          <a:xfrm>
            <a:off x="355" y="87"/>
            <a:ext cx="38" cy="19"/>
          </a:xfrm>
          <a:prstGeom prst="rect">
            <a:avLst/>
          </a:prstGeom>
          <a:solidFill>
            <a:srgbClr val="CC99FF"/>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44</a:t>
            </a:r>
            <a:r>
              <a:rPr lang="en-US" cap="none" sz="1000" b="0" i="0" u="none" baseline="0">
                <a:solidFill>
                  <a:srgbClr val="000000"/>
                </a:solidFill>
                <a:latin typeface="Arial"/>
                <a:ea typeface="Arial"/>
                <a:cs typeface="Arial"/>
              </a:rPr>
              <a:t>Ru</a:t>
            </a:r>
          </a:p>
        </xdr:txBody>
      </xdr:sp>
      <xdr:sp macro="[0]!Sheet1.Element77_Click">
        <xdr:nvSpPr>
          <xdr:cNvPr id="55" name="Rectangle 73"/>
          <xdr:cNvSpPr>
            <a:spLocks/>
          </xdr:cNvSpPr>
        </xdr:nvSpPr>
        <xdr:spPr>
          <a:xfrm>
            <a:off x="393" y="106"/>
            <a:ext cx="37" cy="20"/>
          </a:xfrm>
          <a:prstGeom prst="rect">
            <a:avLst/>
          </a:prstGeom>
          <a:solidFill>
            <a:srgbClr val="CC99FF"/>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77</a:t>
            </a:r>
            <a:r>
              <a:rPr lang="en-US" cap="none" sz="1000" b="0" i="0" u="none" baseline="0">
                <a:solidFill>
                  <a:srgbClr val="000000"/>
                </a:solidFill>
                <a:latin typeface="Arial"/>
                <a:ea typeface="Arial"/>
                <a:cs typeface="Arial"/>
              </a:rPr>
              <a:t>Ir</a:t>
            </a:r>
          </a:p>
        </xdr:txBody>
      </xdr:sp>
      <xdr:sp macro="[0]!Sheet1.Element27_Click">
        <xdr:nvSpPr>
          <xdr:cNvPr id="56" name="Rectangle 74"/>
          <xdr:cNvSpPr>
            <a:spLocks/>
          </xdr:cNvSpPr>
        </xdr:nvSpPr>
        <xdr:spPr>
          <a:xfrm>
            <a:off x="393" y="67"/>
            <a:ext cx="37" cy="20"/>
          </a:xfrm>
          <a:prstGeom prst="rect">
            <a:avLst/>
          </a:prstGeom>
          <a:solidFill>
            <a:srgbClr val="CC99FF"/>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27</a:t>
            </a:r>
            <a:r>
              <a:rPr lang="en-US" cap="none" sz="1000" b="0" i="0" u="none" baseline="0">
                <a:solidFill>
                  <a:srgbClr val="000000"/>
                </a:solidFill>
                <a:latin typeface="Arial"/>
                <a:ea typeface="Arial"/>
                <a:cs typeface="Arial"/>
              </a:rPr>
              <a:t>Co</a:t>
            </a:r>
          </a:p>
        </xdr:txBody>
      </xdr:sp>
      <xdr:sp macro="[0]!Sheet1.Element45_Click">
        <xdr:nvSpPr>
          <xdr:cNvPr id="57" name="Rectangle 75"/>
          <xdr:cNvSpPr>
            <a:spLocks/>
          </xdr:cNvSpPr>
        </xdr:nvSpPr>
        <xdr:spPr>
          <a:xfrm>
            <a:off x="393" y="87"/>
            <a:ext cx="37" cy="19"/>
          </a:xfrm>
          <a:prstGeom prst="rect">
            <a:avLst/>
          </a:prstGeom>
          <a:solidFill>
            <a:srgbClr val="CC99FF"/>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45</a:t>
            </a:r>
            <a:r>
              <a:rPr lang="en-US" cap="none" sz="1000" b="0" i="0" u="none" baseline="0">
                <a:solidFill>
                  <a:srgbClr val="000000"/>
                </a:solidFill>
                <a:latin typeface="Arial"/>
                <a:ea typeface="Arial"/>
                <a:cs typeface="Arial"/>
              </a:rPr>
              <a:t>Rh</a:t>
            </a:r>
          </a:p>
        </xdr:txBody>
      </xdr:sp>
      <xdr:sp macro="[0]!Sheet1.Element78_Click">
        <xdr:nvSpPr>
          <xdr:cNvPr id="58" name="Rectangle 76"/>
          <xdr:cNvSpPr>
            <a:spLocks/>
          </xdr:cNvSpPr>
        </xdr:nvSpPr>
        <xdr:spPr>
          <a:xfrm>
            <a:off x="430" y="106"/>
            <a:ext cx="37" cy="20"/>
          </a:xfrm>
          <a:prstGeom prst="rect">
            <a:avLst/>
          </a:prstGeom>
          <a:solidFill>
            <a:srgbClr val="CC99FF"/>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78</a:t>
            </a:r>
            <a:r>
              <a:rPr lang="en-US" cap="none" sz="1000" b="0" i="0" u="none" baseline="0">
                <a:solidFill>
                  <a:srgbClr val="000000"/>
                </a:solidFill>
                <a:latin typeface="Arial"/>
                <a:ea typeface="Arial"/>
                <a:cs typeface="Arial"/>
              </a:rPr>
              <a:t>Pt</a:t>
            </a:r>
          </a:p>
        </xdr:txBody>
      </xdr:sp>
      <xdr:sp macro="[0]!Sheet1.Element28_Click">
        <xdr:nvSpPr>
          <xdr:cNvPr id="59" name="Rectangle 77"/>
          <xdr:cNvSpPr>
            <a:spLocks/>
          </xdr:cNvSpPr>
        </xdr:nvSpPr>
        <xdr:spPr>
          <a:xfrm>
            <a:off x="430" y="67"/>
            <a:ext cx="37" cy="20"/>
          </a:xfrm>
          <a:prstGeom prst="rect">
            <a:avLst/>
          </a:prstGeom>
          <a:solidFill>
            <a:srgbClr val="CC99FF"/>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28</a:t>
            </a:r>
            <a:r>
              <a:rPr lang="en-US" cap="none" sz="1000" b="0" i="0" u="none" baseline="0">
                <a:solidFill>
                  <a:srgbClr val="000000"/>
                </a:solidFill>
                <a:latin typeface="Arial"/>
                <a:ea typeface="Arial"/>
                <a:cs typeface="Arial"/>
              </a:rPr>
              <a:t>Ni</a:t>
            </a:r>
          </a:p>
        </xdr:txBody>
      </xdr:sp>
      <xdr:sp macro="[0]!Sheet1.Element46_Click">
        <xdr:nvSpPr>
          <xdr:cNvPr id="60" name="Rectangle 78"/>
          <xdr:cNvSpPr>
            <a:spLocks/>
          </xdr:cNvSpPr>
        </xdr:nvSpPr>
        <xdr:spPr>
          <a:xfrm>
            <a:off x="430" y="87"/>
            <a:ext cx="37" cy="19"/>
          </a:xfrm>
          <a:prstGeom prst="rect">
            <a:avLst/>
          </a:prstGeom>
          <a:solidFill>
            <a:srgbClr val="CC99FF"/>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46</a:t>
            </a:r>
            <a:r>
              <a:rPr lang="en-US" cap="none" sz="1000" b="0" i="0" u="none" baseline="0">
                <a:solidFill>
                  <a:srgbClr val="000000"/>
                </a:solidFill>
                <a:latin typeface="Arial"/>
                <a:ea typeface="Arial"/>
                <a:cs typeface="Arial"/>
              </a:rPr>
              <a:t>Pd</a:t>
            </a:r>
          </a:p>
        </xdr:txBody>
      </xdr:sp>
      <xdr:sp macro="[0]!Sheet1.Element79_Click">
        <xdr:nvSpPr>
          <xdr:cNvPr id="61" name="Rectangle 79"/>
          <xdr:cNvSpPr>
            <a:spLocks/>
          </xdr:cNvSpPr>
        </xdr:nvSpPr>
        <xdr:spPr>
          <a:xfrm>
            <a:off x="467" y="106"/>
            <a:ext cx="36" cy="20"/>
          </a:xfrm>
          <a:prstGeom prst="rect">
            <a:avLst/>
          </a:prstGeom>
          <a:solidFill>
            <a:srgbClr val="CC99FF"/>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79</a:t>
            </a:r>
            <a:r>
              <a:rPr lang="en-US" cap="none" sz="1000" b="0" i="0" u="none" baseline="0">
                <a:solidFill>
                  <a:srgbClr val="000000"/>
                </a:solidFill>
                <a:latin typeface="Arial"/>
                <a:ea typeface="Arial"/>
                <a:cs typeface="Arial"/>
              </a:rPr>
              <a:t>Au</a:t>
            </a:r>
          </a:p>
        </xdr:txBody>
      </xdr:sp>
      <xdr:sp macro="[0]!Sheet1.Element29_Click">
        <xdr:nvSpPr>
          <xdr:cNvPr id="62" name="Rectangle 80"/>
          <xdr:cNvSpPr>
            <a:spLocks/>
          </xdr:cNvSpPr>
        </xdr:nvSpPr>
        <xdr:spPr>
          <a:xfrm>
            <a:off x="467" y="67"/>
            <a:ext cx="36" cy="20"/>
          </a:xfrm>
          <a:prstGeom prst="rect">
            <a:avLst/>
          </a:prstGeom>
          <a:solidFill>
            <a:srgbClr val="CC99FF"/>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29</a:t>
            </a:r>
            <a:r>
              <a:rPr lang="en-US" cap="none" sz="1000" b="0" i="0" u="none" baseline="0">
                <a:solidFill>
                  <a:srgbClr val="000000"/>
                </a:solidFill>
                <a:latin typeface="Arial"/>
                <a:ea typeface="Arial"/>
                <a:cs typeface="Arial"/>
              </a:rPr>
              <a:t>Cu</a:t>
            </a:r>
          </a:p>
        </xdr:txBody>
      </xdr:sp>
      <xdr:sp macro="[0]!Sheet1.Element47_Click">
        <xdr:nvSpPr>
          <xdr:cNvPr id="63" name="Rectangle 81"/>
          <xdr:cNvSpPr>
            <a:spLocks/>
          </xdr:cNvSpPr>
        </xdr:nvSpPr>
        <xdr:spPr>
          <a:xfrm>
            <a:off x="467" y="87"/>
            <a:ext cx="36" cy="19"/>
          </a:xfrm>
          <a:prstGeom prst="rect">
            <a:avLst/>
          </a:prstGeom>
          <a:solidFill>
            <a:srgbClr val="CC99FF"/>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47</a:t>
            </a:r>
            <a:r>
              <a:rPr lang="en-US" cap="none" sz="1000" b="0" i="0" u="none" baseline="0">
                <a:solidFill>
                  <a:srgbClr val="000000"/>
                </a:solidFill>
                <a:latin typeface="Arial"/>
                <a:ea typeface="Arial"/>
                <a:cs typeface="Arial"/>
              </a:rPr>
              <a:t>Ag</a:t>
            </a:r>
          </a:p>
        </xdr:txBody>
      </xdr:sp>
      <xdr:sp macro="[0]!Sheet1.Element80_Click">
        <xdr:nvSpPr>
          <xdr:cNvPr id="64" name="Rectangle 82"/>
          <xdr:cNvSpPr>
            <a:spLocks/>
          </xdr:cNvSpPr>
        </xdr:nvSpPr>
        <xdr:spPr>
          <a:xfrm>
            <a:off x="503" y="106"/>
            <a:ext cx="36" cy="20"/>
          </a:xfrm>
          <a:prstGeom prst="rect">
            <a:avLst/>
          </a:prstGeom>
          <a:solidFill>
            <a:srgbClr val="CC99FF"/>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FF"/>
                </a:solidFill>
                <a:latin typeface="Arial"/>
                <a:ea typeface="Arial"/>
                <a:cs typeface="Arial"/>
              </a:rPr>
              <a:t>80</a:t>
            </a:r>
            <a:r>
              <a:rPr lang="en-US" cap="none" sz="1000" b="0" i="0" u="none" baseline="0">
                <a:solidFill>
                  <a:srgbClr val="0000FF"/>
                </a:solidFill>
                <a:latin typeface="Arial"/>
                <a:ea typeface="Arial"/>
                <a:cs typeface="Arial"/>
              </a:rPr>
              <a:t>Hg</a:t>
            </a:r>
          </a:p>
        </xdr:txBody>
      </xdr:sp>
      <xdr:sp macro="[0]!Sheet1.Element30_Click">
        <xdr:nvSpPr>
          <xdr:cNvPr id="65" name="Rectangle 83"/>
          <xdr:cNvSpPr>
            <a:spLocks/>
          </xdr:cNvSpPr>
        </xdr:nvSpPr>
        <xdr:spPr>
          <a:xfrm>
            <a:off x="503" y="67"/>
            <a:ext cx="36" cy="20"/>
          </a:xfrm>
          <a:prstGeom prst="rect">
            <a:avLst/>
          </a:prstGeom>
          <a:solidFill>
            <a:srgbClr val="CC99FF"/>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30</a:t>
            </a:r>
            <a:r>
              <a:rPr lang="en-US" cap="none" sz="1000" b="0" i="0" u="none" baseline="0">
                <a:solidFill>
                  <a:srgbClr val="000000"/>
                </a:solidFill>
                <a:latin typeface="Arial"/>
                <a:ea typeface="Arial"/>
                <a:cs typeface="Arial"/>
              </a:rPr>
              <a:t>Zn</a:t>
            </a:r>
          </a:p>
        </xdr:txBody>
      </xdr:sp>
      <xdr:sp macro="[0]!Sheet1.Element48_Click">
        <xdr:nvSpPr>
          <xdr:cNvPr id="66" name="Rectangle 84"/>
          <xdr:cNvSpPr>
            <a:spLocks/>
          </xdr:cNvSpPr>
        </xdr:nvSpPr>
        <xdr:spPr>
          <a:xfrm>
            <a:off x="503" y="87"/>
            <a:ext cx="36" cy="19"/>
          </a:xfrm>
          <a:prstGeom prst="rect">
            <a:avLst/>
          </a:prstGeom>
          <a:solidFill>
            <a:srgbClr val="CC99FF"/>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48</a:t>
            </a:r>
            <a:r>
              <a:rPr lang="en-US" cap="none" sz="1000" b="0" i="0" u="none" baseline="0">
                <a:solidFill>
                  <a:srgbClr val="000000"/>
                </a:solidFill>
                <a:latin typeface="Arial"/>
                <a:ea typeface="Arial"/>
                <a:cs typeface="Arial"/>
              </a:rPr>
              <a:t>Cd</a:t>
            </a:r>
          </a:p>
        </xdr:txBody>
      </xdr:sp>
      <xdr:sp macro="[0]!Sheet1.Element5_Click">
        <xdr:nvSpPr>
          <xdr:cNvPr id="67" name="Rectangle 85"/>
          <xdr:cNvSpPr>
            <a:spLocks/>
          </xdr:cNvSpPr>
        </xdr:nvSpPr>
        <xdr:spPr>
          <a:xfrm>
            <a:off x="539" y="27"/>
            <a:ext cx="35" cy="19"/>
          </a:xfrm>
          <a:prstGeom prst="rect">
            <a:avLst/>
          </a:prstGeom>
          <a:solidFill>
            <a:srgbClr val="00FFFF"/>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5</a:t>
            </a:r>
            <a:r>
              <a:rPr lang="en-US" cap="none" sz="1000" b="0" i="0" u="none" baseline="0">
                <a:solidFill>
                  <a:srgbClr val="000000"/>
                </a:solidFill>
                <a:latin typeface="Arial"/>
                <a:ea typeface="Arial"/>
                <a:cs typeface="Arial"/>
              </a:rPr>
              <a:t>B</a:t>
            </a:r>
          </a:p>
        </xdr:txBody>
      </xdr:sp>
      <xdr:sp macro="[0]!Sheet1.Element13_Click">
        <xdr:nvSpPr>
          <xdr:cNvPr id="68" name="Rectangle 86"/>
          <xdr:cNvSpPr>
            <a:spLocks/>
          </xdr:cNvSpPr>
        </xdr:nvSpPr>
        <xdr:spPr>
          <a:xfrm>
            <a:off x="539" y="46"/>
            <a:ext cx="35" cy="21"/>
          </a:xfrm>
          <a:prstGeom prst="rect">
            <a:avLst/>
          </a:prstGeom>
          <a:solidFill>
            <a:srgbClr val="00FFFF"/>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13</a:t>
            </a:r>
            <a:r>
              <a:rPr lang="en-US" cap="none" sz="1000" b="0" i="0" u="none" baseline="0">
                <a:solidFill>
                  <a:srgbClr val="000000"/>
                </a:solidFill>
                <a:latin typeface="Arial"/>
                <a:ea typeface="Arial"/>
                <a:cs typeface="Arial"/>
              </a:rPr>
              <a:t>Al</a:t>
            </a:r>
          </a:p>
        </xdr:txBody>
      </xdr:sp>
      <xdr:sp macro="[0]!Sheet1.Element81_Click">
        <xdr:nvSpPr>
          <xdr:cNvPr id="69" name="Rectangle 87"/>
          <xdr:cNvSpPr>
            <a:spLocks/>
          </xdr:cNvSpPr>
        </xdr:nvSpPr>
        <xdr:spPr>
          <a:xfrm>
            <a:off x="539" y="106"/>
            <a:ext cx="35" cy="20"/>
          </a:xfrm>
          <a:prstGeom prst="rect">
            <a:avLst/>
          </a:prstGeom>
          <a:solidFill>
            <a:srgbClr val="00FFFF"/>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81</a:t>
            </a:r>
            <a:r>
              <a:rPr lang="en-US" cap="none" sz="1000" b="0" i="0" u="none" baseline="0">
                <a:solidFill>
                  <a:srgbClr val="000000"/>
                </a:solidFill>
                <a:latin typeface="Arial"/>
                <a:ea typeface="Arial"/>
                <a:cs typeface="Arial"/>
              </a:rPr>
              <a:t>Tl</a:t>
            </a:r>
          </a:p>
        </xdr:txBody>
      </xdr:sp>
      <xdr:sp macro="[0]!Sheet1.Element31_Click">
        <xdr:nvSpPr>
          <xdr:cNvPr id="70" name="Rectangle 88"/>
          <xdr:cNvSpPr>
            <a:spLocks/>
          </xdr:cNvSpPr>
        </xdr:nvSpPr>
        <xdr:spPr>
          <a:xfrm>
            <a:off x="539" y="67"/>
            <a:ext cx="35" cy="20"/>
          </a:xfrm>
          <a:prstGeom prst="rect">
            <a:avLst/>
          </a:prstGeom>
          <a:solidFill>
            <a:srgbClr val="00FFFF"/>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31</a:t>
            </a:r>
            <a:r>
              <a:rPr lang="en-US" cap="none" sz="1000" b="0" i="0" u="none" baseline="0">
                <a:solidFill>
                  <a:srgbClr val="000000"/>
                </a:solidFill>
                <a:latin typeface="Arial"/>
                <a:ea typeface="Arial"/>
                <a:cs typeface="Arial"/>
              </a:rPr>
              <a:t>Ga</a:t>
            </a:r>
          </a:p>
        </xdr:txBody>
      </xdr:sp>
      <xdr:sp macro="[0]!Sheet1.Element49_Click">
        <xdr:nvSpPr>
          <xdr:cNvPr id="71" name="Rectangle 89"/>
          <xdr:cNvSpPr>
            <a:spLocks/>
          </xdr:cNvSpPr>
        </xdr:nvSpPr>
        <xdr:spPr>
          <a:xfrm>
            <a:off x="539" y="87"/>
            <a:ext cx="35" cy="19"/>
          </a:xfrm>
          <a:prstGeom prst="rect">
            <a:avLst/>
          </a:prstGeom>
          <a:solidFill>
            <a:srgbClr val="00FFFF"/>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49</a:t>
            </a:r>
            <a:r>
              <a:rPr lang="en-US" cap="none" sz="1000" b="0" i="0" u="none" baseline="0">
                <a:solidFill>
                  <a:srgbClr val="000000"/>
                </a:solidFill>
                <a:latin typeface="Arial"/>
                <a:ea typeface="Arial"/>
                <a:cs typeface="Arial"/>
              </a:rPr>
              <a:t>In</a:t>
            </a:r>
          </a:p>
        </xdr:txBody>
      </xdr:sp>
      <xdr:sp macro="[0]!Sheet1.Element6_Click">
        <xdr:nvSpPr>
          <xdr:cNvPr id="72" name="Rectangle 90"/>
          <xdr:cNvSpPr>
            <a:spLocks/>
          </xdr:cNvSpPr>
        </xdr:nvSpPr>
        <xdr:spPr>
          <a:xfrm>
            <a:off x="574" y="27"/>
            <a:ext cx="35" cy="19"/>
          </a:xfrm>
          <a:prstGeom prst="rect">
            <a:avLst/>
          </a:prstGeom>
          <a:solidFill>
            <a:srgbClr val="00FFFF"/>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6</a:t>
            </a:r>
            <a:r>
              <a:rPr lang="en-US" cap="none" sz="1000" b="0" i="0" u="none" baseline="0">
                <a:solidFill>
                  <a:srgbClr val="000000"/>
                </a:solidFill>
                <a:latin typeface="Arial"/>
                <a:ea typeface="Arial"/>
                <a:cs typeface="Arial"/>
              </a:rPr>
              <a:t>C</a:t>
            </a:r>
          </a:p>
        </xdr:txBody>
      </xdr:sp>
      <xdr:sp macro="[0]!Sheet1.Element14_Click">
        <xdr:nvSpPr>
          <xdr:cNvPr id="73" name="Rectangle 91"/>
          <xdr:cNvSpPr>
            <a:spLocks/>
          </xdr:cNvSpPr>
        </xdr:nvSpPr>
        <xdr:spPr>
          <a:xfrm>
            <a:off x="574" y="46"/>
            <a:ext cx="35" cy="21"/>
          </a:xfrm>
          <a:prstGeom prst="rect">
            <a:avLst/>
          </a:prstGeom>
          <a:solidFill>
            <a:srgbClr val="00FFFF"/>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14</a:t>
            </a:r>
            <a:r>
              <a:rPr lang="en-US" cap="none" sz="1000" b="0" i="0" u="none" baseline="0">
                <a:solidFill>
                  <a:srgbClr val="000000"/>
                </a:solidFill>
                <a:latin typeface="Arial"/>
                <a:ea typeface="Arial"/>
                <a:cs typeface="Arial"/>
              </a:rPr>
              <a:t>Si</a:t>
            </a:r>
          </a:p>
        </xdr:txBody>
      </xdr:sp>
      <xdr:sp macro="[0]!Sheet1.Element82_Click">
        <xdr:nvSpPr>
          <xdr:cNvPr id="74" name="Rectangle 92"/>
          <xdr:cNvSpPr>
            <a:spLocks/>
          </xdr:cNvSpPr>
        </xdr:nvSpPr>
        <xdr:spPr>
          <a:xfrm>
            <a:off x="574" y="106"/>
            <a:ext cx="35" cy="20"/>
          </a:xfrm>
          <a:prstGeom prst="rect">
            <a:avLst/>
          </a:prstGeom>
          <a:solidFill>
            <a:srgbClr val="00FFFF"/>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82</a:t>
            </a:r>
            <a:r>
              <a:rPr lang="en-US" cap="none" sz="1000" b="0" i="0" u="none" baseline="0">
                <a:solidFill>
                  <a:srgbClr val="000000"/>
                </a:solidFill>
                <a:latin typeface="Arial"/>
                <a:ea typeface="Arial"/>
                <a:cs typeface="Arial"/>
              </a:rPr>
              <a:t>Pb</a:t>
            </a:r>
          </a:p>
        </xdr:txBody>
      </xdr:sp>
      <xdr:sp macro="[0]!Sheet1.Element32_Click">
        <xdr:nvSpPr>
          <xdr:cNvPr id="75" name="Rectangle 93"/>
          <xdr:cNvSpPr>
            <a:spLocks/>
          </xdr:cNvSpPr>
        </xdr:nvSpPr>
        <xdr:spPr>
          <a:xfrm>
            <a:off x="574" y="67"/>
            <a:ext cx="35" cy="20"/>
          </a:xfrm>
          <a:prstGeom prst="rect">
            <a:avLst/>
          </a:prstGeom>
          <a:solidFill>
            <a:srgbClr val="00FFFF"/>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32</a:t>
            </a:r>
            <a:r>
              <a:rPr lang="en-US" cap="none" sz="1000" b="0" i="0" u="none" baseline="0">
                <a:solidFill>
                  <a:srgbClr val="000000"/>
                </a:solidFill>
                <a:latin typeface="Arial"/>
                <a:ea typeface="Arial"/>
                <a:cs typeface="Arial"/>
              </a:rPr>
              <a:t>Ge</a:t>
            </a:r>
          </a:p>
        </xdr:txBody>
      </xdr:sp>
      <xdr:sp macro="[0]!Sheet1.Element50_Click">
        <xdr:nvSpPr>
          <xdr:cNvPr id="76" name="Rectangle 94"/>
          <xdr:cNvSpPr>
            <a:spLocks/>
          </xdr:cNvSpPr>
        </xdr:nvSpPr>
        <xdr:spPr>
          <a:xfrm>
            <a:off x="574" y="87"/>
            <a:ext cx="35" cy="19"/>
          </a:xfrm>
          <a:prstGeom prst="rect">
            <a:avLst/>
          </a:prstGeom>
          <a:solidFill>
            <a:srgbClr val="00FFFF"/>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50</a:t>
            </a:r>
            <a:r>
              <a:rPr lang="en-US" cap="none" sz="1000" b="0" i="0" u="none" baseline="0">
                <a:solidFill>
                  <a:srgbClr val="000000"/>
                </a:solidFill>
                <a:latin typeface="Arial"/>
                <a:ea typeface="Arial"/>
                <a:cs typeface="Arial"/>
              </a:rPr>
              <a:t>Sn</a:t>
            </a:r>
          </a:p>
        </xdr:txBody>
      </xdr:sp>
      <xdr:sp macro="[0]!Sheet1.Element7_Click">
        <xdr:nvSpPr>
          <xdr:cNvPr id="77" name="Rectangle 95"/>
          <xdr:cNvSpPr>
            <a:spLocks/>
          </xdr:cNvSpPr>
        </xdr:nvSpPr>
        <xdr:spPr>
          <a:xfrm>
            <a:off x="609" y="27"/>
            <a:ext cx="39" cy="19"/>
          </a:xfrm>
          <a:prstGeom prst="rect">
            <a:avLst/>
          </a:prstGeom>
          <a:solidFill>
            <a:srgbClr val="00FFFF"/>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FF0000"/>
                </a:solidFill>
                <a:latin typeface="Arial"/>
                <a:ea typeface="Arial"/>
                <a:cs typeface="Arial"/>
              </a:rPr>
              <a:t>7</a:t>
            </a:r>
            <a:r>
              <a:rPr lang="en-US" cap="none" sz="1000" b="0" i="0" u="none" baseline="0">
                <a:solidFill>
                  <a:srgbClr val="FF0000"/>
                </a:solidFill>
                <a:latin typeface="Arial"/>
                <a:ea typeface="Arial"/>
                <a:cs typeface="Arial"/>
              </a:rPr>
              <a:t>N</a:t>
            </a:r>
          </a:p>
        </xdr:txBody>
      </xdr:sp>
      <xdr:sp macro="[0]!Sheet1.Element15_Click">
        <xdr:nvSpPr>
          <xdr:cNvPr id="78" name="Rectangle 96"/>
          <xdr:cNvSpPr>
            <a:spLocks/>
          </xdr:cNvSpPr>
        </xdr:nvSpPr>
        <xdr:spPr>
          <a:xfrm>
            <a:off x="609" y="46"/>
            <a:ext cx="39" cy="21"/>
          </a:xfrm>
          <a:prstGeom prst="rect">
            <a:avLst/>
          </a:prstGeom>
          <a:solidFill>
            <a:srgbClr val="00FFFF"/>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15</a:t>
            </a:r>
            <a:r>
              <a:rPr lang="en-US" cap="none" sz="1000" b="0" i="0" u="none" baseline="0">
                <a:solidFill>
                  <a:srgbClr val="000000"/>
                </a:solidFill>
                <a:latin typeface="Arial"/>
                <a:ea typeface="Arial"/>
                <a:cs typeface="Arial"/>
              </a:rPr>
              <a:t>P</a:t>
            </a:r>
          </a:p>
        </xdr:txBody>
      </xdr:sp>
      <xdr:sp macro="[0]!Sheet1.Element83_Click">
        <xdr:nvSpPr>
          <xdr:cNvPr id="79" name="Rectangle 97"/>
          <xdr:cNvSpPr>
            <a:spLocks/>
          </xdr:cNvSpPr>
        </xdr:nvSpPr>
        <xdr:spPr>
          <a:xfrm>
            <a:off x="609" y="106"/>
            <a:ext cx="39" cy="20"/>
          </a:xfrm>
          <a:prstGeom prst="rect">
            <a:avLst/>
          </a:prstGeom>
          <a:solidFill>
            <a:srgbClr val="00FFFF"/>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83</a:t>
            </a:r>
            <a:r>
              <a:rPr lang="en-US" cap="none" sz="1000" b="0" i="0" u="none" baseline="0">
                <a:solidFill>
                  <a:srgbClr val="000000"/>
                </a:solidFill>
                <a:latin typeface="Arial"/>
                <a:ea typeface="Arial"/>
                <a:cs typeface="Arial"/>
              </a:rPr>
              <a:t>Bi</a:t>
            </a:r>
          </a:p>
        </xdr:txBody>
      </xdr:sp>
      <xdr:sp macro="[0]!Sheet1.Element33_Click">
        <xdr:nvSpPr>
          <xdr:cNvPr id="80" name="Rectangle 98"/>
          <xdr:cNvSpPr>
            <a:spLocks/>
          </xdr:cNvSpPr>
        </xdr:nvSpPr>
        <xdr:spPr>
          <a:xfrm>
            <a:off x="609" y="67"/>
            <a:ext cx="39" cy="20"/>
          </a:xfrm>
          <a:prstGeom prst="rect">
            <a:avLst/>
          </a:prstGeom>
          <a:solidFill>
            <a:srgbClr val="00FFFF"/>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33</a:t>
            </a:r>
            <a:r>
              <a:rPr lang="en-US" cap="none" sz="1000" b="0" i="0" u="none" baseline="0">
                <a:solidFill>
                  <a:srgbClr val="000000"/>
                </a:solidFill>
                <a:latin typeface="Arial"/>
                <a:ea typeface="Arial"/>
                <a:cs typeface="Arial"/>
              </a:rPr>
              <a:t>As</a:t>
            </a:r>
          </a:p>
        </xdr:txBody>
      </xdr:sp>
      <xdr:sp macro="[0]!Sheet1.Element51_Click">
        <xdr:nvSpPr>
          <xdr:cNvPr id="81" name="Rectangle 99"/>
          <xdr:cNvSpPr>
            <a:spLocks/>
          </xdr:cNvSpPr>
        </xdr:nvSpPr>
        <xdr:spPr>
          <a:xfrm>
            <a:off x="609" y="87"/>
            <a:ext cx="39" cy="19"/>
          </a:xfrm>
          <a:prstGeom prst="rect">
            <a:avLst/>
          </a:prstGeom>
          <a:solidFill>
            <a:srgbClr val="00FFFF"/>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51</a:t>
            </a:r>
            <a:r>
              <a:rPr lang="en-US" cap="none" sz="1000" b="0" i="0" u="none" baseline="0">
                <a:solidFill>
                  <a:srgbClr val="000000"/>
                </a:solidFill>
                <a:latin typeface="Arial"/>
                <a:ea typeface="Arial"/>
                <a:cs typeface="Arial"/>
              </a:rPr>
              <a:t>Sb</a:t>
            </a:r>
          </a:p>
        </xdr:txBody>
      </xdr:sp>
      <xdr:sp macro="[0]!Sheet1.Element8_Click">
        <xdr:nvSpPr>
          <xdr:cNvPr id="82" name="Rectangle 100"/>
          <xdr:cNvSpPr>
            <a:spLocks/>
          </xdr:cNvSpPr>
        </xdr:nvSpPr>
        <xdr:spPr>
          <a:xfrm>
            <a:off x="648" y="27"/>
            <a:ext cx="39" cy="19"/>
          </a:xfrm>
          <a:prstGeom prst="rect">
            <a:avLst/>
          </a:prstGeom>
          <a:solidFill>
            <a:srgbClr val="00FFFF"/>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FF0000"/>
                </a:solidFill>
                <a:latin typeface="Arial"/>
                <a:ea typeface="Arial"/>
                <a:cs typeface="Arial"/>
              </a:rPr>
              <a:t>8</a:t>
            </a:r>
            <a:r>
              <a:rPr lang="en-US" cap="none" sz="1000" b="0" i="0" u="none" baseline="0">
                <a:solidFill>
                  <a:srgbClr val="FF0000"/>
                </a:solidFill>
                <a:latin typeface="Arial"/>
                <a:ea typeface="Arial"/>
                <a:cs typeface="Arial"/>
              </a:rPr>
              <a:t>O</a:t>
            </a:r>
          </a:p>
        </xdr:txBody>
      </xdr:sp>
      <xdr:sp macro="[0]!Sheet1.Element16_Click">
        <xdr:nvSpPr>
          <xdr:cNvPr id="83" name="Rectangle 101"/>
          <xdr:cNvSpPr>
            <a:spLocks/>
          </xdr:cNvSpPr>
        </xdr:nvSpPr>
        <xdr:spPr>
          <a:xfrm>
            <a:off x="648" y="46"/>
            <a:ext cx="39" cy="21"/>
          </a:xfrm>
          <a:prstGeom prst="rect">
            <a:avLst/>
          </a:prstGeom>
          <a:solidFill>
            <a:srgbClr val="00FFFF"/>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16</a:t>
            </a:r>
            <a:r>
              <a:rPr lang="en-US" cap="none" sz="1000" b="0" i="0" u="none" baseline="0">
                <a:solidFill>
                  <a:srgbClr val="000000"/>
                </a:solidFill>
                <a:latin typeface="Arial"/>
                <a:ea typeface="Arial"/>
                <a:cs typeface="Arial"/>
              </a:rPr>
              <a:t>S</a:t>
            </a:r>
          </a:p>
        </xdr:txBody>
      </xdr:sp>
      <xdr:sp macro="[0]!Sheet1.Element84_Click">
        <xdr:nvSpPr>
          <xdr:cNvPr id="84" name="Rectangle 102"/>
          <xdr:cNvSpPr>
            <a:spLocks/>
          </xdr:cNvSpPr>
        </xdr:nvSpPr>
        <xdr:spPr>
          <a:xfrm>
            <a:off x="648" y="106"/>
            <a:ext cx="39" cy="20"/>
          </a:xfrm>
          <a:prstGeom prst="rect">
            <a:avLst/>
          </a:prstGeom>
          <a:solidFill>
            <a:srgbClr val="00FFFF"/>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84</a:t>
            </a:r>
            <a:r>
              <a:rPr lang="en-US" cap="none" sz="1000" b="0" i="0" u="none" baseline="0">
                <a:solidFill>
                  <a:srgbClr val="000000"/>
                </a:solidFill>
                <a:latin typeface="Arial"/>
                <a:ea typeface="Arial"/>
                <a:cs typeface="Arial"/>
              </a:rPr>
              <a:t>Po</a:t>
            </a:r>
          </a:p>
        </xdr:txBody>
      </xdr:sp>
      <xdr:sp macro="[0]!Sheet1.Element34_Click">
        <xdr:nvSpPr>
          <xdr:cNvPr id="85" name="Rectangle 103"/>
          <xdr:cNvSpPr>
            <a:spLocks/>
          </xdr:cNvSpPr>
        </xdr:nvSpPr>
        <xdr:spPr>
          <a:xfrm>
            <a:off x="648" y="67"/>
            <a:ext cx="39" cy="20"/>
          </a:xfrm>
          <a:prstGeom prst="rect">
            <a:avLst/>
          </a:prstGeom>
          <a:solidFill>
            <a:srgbClr val="00FFFF"/>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34</a:t>
            </a:r>
            <a:r>
              <a:rPr lang="en-US" cap="none" sz="1000" b="0" i="0" u="none" baseline="0">
                <a:solidFill>
                  <a:srgbClr val="000000"/>
                </a:solidFill>
                <a:latin typeface="Arial"/>
                <a:ea typeface="Arial"/>
                <a:cs typeface="Arial"/>
              </a:rPr>
              <a:t>Se</a:t>
            </a:r>
          </a:p>
        </xdr:txBody>
      </xdr:sp>
      <xdr:sp macro="[0]!Sheet1.Element52_Click">
        <xdr:nvSpPr>
          <xdr:cNvPr id="86" name="Rectangle 104"/>
          <xdr:cNvSpPr>
            <a:spLocks/>
          </xdr:cNvSpPr>
        </xdr:nvSpPr>
        <xdr:spPr>
          <a:xfrm>
            <a:off x="648" y="87"/>
            <a:ext cx="39" cy="19"/>
          </a:xfrm>
          <a:prstGeom prst="rect">
            <a:avLst/>
          </a:prstGeom>
          <a:solidFill>
            <a:srgbClr val="00FFFF"/>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52</a:t>
            </a:r>
            <a:r>
              <a:rPr lang="en-US" cap="none" sz="1000" b="0" i="0" u="none" baseline="0">
                <a:solidFill>
                  <a:srgbClr val="000000"/>
                </a:solidFill>
                <a:latin typeface="Arial"/>
                <a:ea typeface="Arial"/>
                <a:cs typeface="Arial"/>
              </a:rPr>
              <a:t>Te</a:t>
            </a:r>
          </a:p>
        </xdr:txBody>
      </xdr:sp>
      <xdr:sp macro="[0]!Sheet1.Element9_Click">
        <xdr:nvSpPr>
          <xdr:cNvPr id="87" name="Rectangle 105"/>
          <xdr:cNvSpPr>
            <a:spLocks/>
          </xdr:cNvSpPr>
        </xdr:nvSpPr>
        <xdr:spPr>
          <a:xfrm>
            <a:off x="687" y="27"/>
            <a:ext cx="39" cy="19"/>
          </a:xfrm>
          <a:prstGeom prst="rect">
            <a:avLst/>
          </a:prstGeom>
          <a:solidFill>
            <a:srgbClr val="00FFFF"/>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FF0000"/>
                </a:solidFill>
                <a:latin typeface="Arial"/>
                <a:ea typeface="Arial"/>
                <a:cs typeface="Arial"/>
              </a:rPr>
              <a:t>9</a:t>
            </a:r>
            <a:r>
              <a:rPr lang="en-US" cap="none" sz="1000" b="0" i="0" u="none" baseline="0">
                <a:solidFill>
                  <a:srgbClr val="FF0000"/>
                </a:solidFill>
                <a:latin typeface="Arial"/>
                <a:ea typeface="Arial"/>
                <a:cs typeface="Arial"/>
              </a:rPr>
              <a:t>F</a:t>
            </a:r>
          </a:p>
        </xdr:txBody>
      </xdr:sp>
      <xdr:sp macro="[0]!Sheet1.Element17_Click">
        <xdr:nvSpPr>
          <xdr:cNvPr id="88" name="Rectangle 106"/>
          <xdr:cNvSpPr>
            <a:spLocks/>
          </xdr:cNvSpPr>
        </xdr:nvSpPr>
        <xdr:spPr>
          <a:xfrm>
            <a:off x="687" y="46"/>
            <a:ext cx="39" cy="21"/>
          </a:xfrm>
          <a:prstGeom prst="rect">
            <a:avLst/>
          </a:prstGeom>
          <a:solidFill>
            <a:srgbClr val="00FFFF"/>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FF0000"/>
                </a:solidFill>
                <a:latin typeface="Arial"/>
                <a:ea typeface="Arial"/>
                <a:cs typeface="Arial"/>
              </a:rPr>
              <a:t>17</a:t>
            </a:r>
            <a:r>
              <a:rPr lang="en-US" cap="none" sz="1000" b="0" i="0" u="none" baseline="0">
                <a:solidFill>
                  <a:srgbClr val="FF0000"/>
                </a:solidFill>
                <a:latin typeface="Arial"/>
                <a:ea typeface="Arial"/>
                <a:cs typeface="Arial"/>
              </a:rPr>
              <a:t>Cl</a:t>
            </a:r>
          </a:p>
        </xdr:txBody>
      </xdr:sp>
      <xdr:sp macro="[0]!Sheet1.Element85_Click">
        <xdr:nvSpPr>
          <xdr:cNvPr id="89" name="Rectangle 107"/>
          <xdr:cNvSpPr>
            <a:spLocks/>
          </xdr:cNvSpPr>
        </xdr:nvSpPr>
        <xdr:spPr>
          <a:xfrm>
            <a:off x="687" y="106"/>
            <a:ext cx="39" cy="20"/>
          </a:xfrm>
          <a:prstGeom prst="rect">
            <a:avLst/>
          </a:prstGeom>
          <a:solidFill>
            <a:srgbClr val="00FFFF"/>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85</a:t>
            </a:r>
            <a:r>
              <a:rPr lang="en-US" cap="none" sz="1000" b="0" i="0" u="none" baseline="0">
                <a:solidFill>
                  <a:srgbClr val="000000"/>
                </a:solidFill>
                <a:latin typeface="Arial"/>
                <a:ea typeface="Arial"/>
                <a:cs typeface="Arial"/>
              </a:rPr>
              <a:t>At</a:t>
            </a:r>
          </a:p>
        </xdr:txBody>
      </xdr:sp>
      <xdr:sp macro="[0]!Sheet1.Element35_Click">
        <xdr:nvSpPr>
          <xdr:cNvPr id="90" name="Rectangle 108"/>
          <xdr:cNvSpPr>
            <a:spLocks/>
          </xdr:cNvSpPr>
        </xdr:nvSpPr>
        <xdr:spPr>
          <a:xfrm>
            <a:off x="687" y="67"/>
            <a:ext cx="39" cy="20"/>
          </a:xfrm>
          <a:prstGeom prst="rect">
            <a:avLst/>
          </a:prstGeom>
          <a:solidFill>
            <a:srgbClr val="00FFFF"/>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FF"/>
                </a:solidFill>
                <a:latin typeface="Arial"/>
                <a:ea typeface="Arial"/>
                <a:cs typeface="Arial"/>
              </a:rPr>
              <a:t>35</a:t>
            </a:r>
            <a:r>
              <a:rPr lang="en-US" cap="none" sz="1000" b="0" i="0" u="none" baseline="0">
                <a:solidFill>
                  <a:srgbClr val="0000FF"/>
                </a:solidFill>
                <a:latin typeface="Arial"/>
                <a:ea typeface="Arial"/>
                <a:cs typeface="Arial"/>
              </a:rPr>
              <a:t>Br</a:t>
            </a:r>
          </a:p>
        </xdr:txBody>
      </xdr:sp>
      <xdr:sp macro="[0]!Sheet1.Element53_Click">
        <xdr:nvSpPr>
          <xdr:cNvPr id="91" name="Rectangle 109"/>
          <xdr:cNvSpPr>
            <a:spLocks/>
          </xdr:cNvSpPr>
        </xdr:nvSpPr>
        <xdr:spPr>
          <a:xfrm>
            <a:off x="687" y="87"/>
            <a:ext cx="39" cy="19"/>
          </a:xfrm>
          <a:prstGeom prst="rect">
            <a:avLst/>
          </a:prstGeom>
          <a:solidFill>
            <a:srgbClr val="00FFFF"/>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53</a:t>
            </a:r>
            <a:r>
              <a:rPr lang="en-US" cap="none" sz="1000" b="0" i="0" u="none" baseline="0">
                <a:solidFill>
                  <a:srgbClr val="000000"/>
                </a:solidFill>
                <a:latin typeface="Arial"/>
                <a:ea typeface="Arial"/>
                <a:cs typeface="Arial"/>
              </a:rPr>
              <a:t>I</a:t>
            </a:r>
          </a:p>
        </xdr:txBody>
      </xdr:sp>
      <xdr:sp macro="[0]!Sheet1.Element10_Click">
        <xdr:nvSpPr>
          <xdr:cNvPr id="92" name="Rectangle 110"/>
          <xdr:cNvSpPr>
            <a:spLocks/>
          </xdr:cNvSpPr>
        </xdr:nvSpPr>
        <xdr:spPr>
          <a:xfrm>
            <a:off x="726" y="27"/>
            <a:ext cx="37" cy="19"/>
          </a:xfrm>
          <a:prstGeom prst="rect">
            <a:avLst/>
          </a:prstGeom>
          <a:solidFill>
            <a:srgbClr val="00FFFF"/>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FF0000"/>
                </a:solidFill>
                <a:latin typeface="Arial"/>
                <a:ea typeface="Arial"/>
                <a:cs typeface="Arial"/>
              </a:rPr>
              <a:t>10</a:t>
            </a:r>
            <a:r>
              <a:rPr lang="en-US" cap="none" sz="1000" b="0" i="0" u="none" baseline="0">
                <a:solidFill>
                  <a:srgbClr val="FF0000"/>
                </a:solidFill>
                <a:latin typeface="Arial"/>
                <a:ea typeface="Arial"/>
                <a:cs typeface="Arial"/>
              </a:rPr>
              <a:t>Ne</a:t>
            </a:r>
          </a:p>
        </xdr:txBody>
      </xdr:sp>
      <xdr:sp macro="[0]!Sheet1.Element18_Click">
        <xdr:nvSpPr>
          <xdr:cNvPr id="93" name="Rectangle 111"/>
          <xdr:cNvSpPr>
            <a:spLocks/>
          </xdr:cNvSpPr>
        </xdr:nvSpPr>
        <xdr:spPr>
          <a:xfrm>
            <a:off x="726" y="46"/>
            <a:ext cx="37" cy="21"/>
          </a:xfrm>
          <a:prstGeom prst="rect">
            <a:avLst/>
          </a:prstGeom>
          <a:solidFill>
            <a:srgbClr val="00FFFF"/>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FF0000"/>
                </a:solidFill>
                <a:latin typeface="Arial"/>
                <a:ea typeface="Arial"/>
                <a:cs typeface="Arial"/>
              </a:rPr>
              <a:t>18</a:t>
            </a:r>
            <a:r>
              <a:rPr lang="en-US" cap="none" sz="1000" b="0" i="0" u="none" baseline="0">
                <a:solidFill>
                  <a:srgbClr val="FF0000"/>
                </a:solidFill>
                <a:latin typeface="Arial"/>
                <a:ea typeface="Arial"/>
                <a:cs typeface="Arial"/>
              </a:rPr>
              <a:t>Ar</a:t>
            </a:r>
          </a:p>
        </xdr:txBody>
      </xdr:sp>
      <xdr:sp macro="[0]!Sheet1.Element86_Click">
        <xdr:nvSpPr>
          <xdr:cNvPr id="94" name="Rectangle 112"/>
          <xdr:cNvSpPr>
            <a:spLocks/>
          </xdr:cNvSpPr>
        </xdr:nvSpPr>
        <xdr:spPr>
          <a:xfrm>
            <a:off x="726" y="106"/>
            <a:ext cx="37" cy="20"/>
          </a:xfrm>
          <a:prstGeom prst="rect">
            <a:avLst/>
          </a:prstGeom>
          <a:solidFill>
            <a:srgbClr val="00FFFF"/>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FF0000"/>
                </a:solidFill>
                <a:latin typeface="Arial"/>
                <a:ea typeface="Arial"/>
                <a:cs typeface="Arial"/>
              </a:rPr>
              <a:t>86</a:t>
            </a:r>
            <a:r>
              <a:rPr lang="en-US" cap="none" sz="1000" b="0" i="0" u="none" baseline="0">
                <a:solidFill>
                  <a:srgbClr val="FF0000"/>
                </a:solidFill>
                <a:latin typeface="Arial"/>
                <a:ea typeface="Arial"/>
                <a:cs typeface="Arial"/>
              </a:rPr>
              <a:t>Rn</a:t>
            </a:r>
          </a:p>
        </xdr:txBody>
      </xdr:sp>
      <xdr:sp macro="[0]!Sheet1.Element36_Click">
        <xdr:nvSpPr>
          <xdr:cNvPr id="95" name="Rectangle 113"/>
          <xdr:cNvSpPr>
            <a:spLocks/>
          </xdr:cNvSpPr>
        </xdr:nvSpPr>
        <xdr:spPr>
          <a:xfrm>
            <a:off x="726" y="67"/>
            <a:ext cx="37" cy="20"/>
          </a:xfrm>
          <a:prstGeom prst="rect">
            <a:avLst/>
          </a:prstGeom>
          <a:solidFill>
            <a:srgbClr val="00FFFF"/>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FF0000"/>
                </a:solidFill>
                <a:latin typeface="Arial"/>
                <a:ea typeface="Arial"/>
                <a:cs typeface="Arial"/>
              </a:rPr>
              <a:t>36</a:t>
            </a:r>
            <a:r>
              <a:rPr lang="en-US" cap="none" sz="1000" b="0" i="0" u="none" baseline="0">
                <a:solidFill>
                  <a:srgbClr val="FF0000"/>
                </a:solidFill>
                <a:latin typeface="Arial"/>
                <a:ea typeface="Arial"/>
                <a:cs typeface="Arial"/>
              </a:rPr>
              <a:t>Kr</a:t>
            </a:r>
          </a:p>
        </xdr:txBody>
      </xdr:sp>
      <xdr:sp macro="[0]!Sheet1.Element54_Click">
        <xdr:nvSpPr>
          <xdr:cNvPr id="96" name="Rectangle 114"/>
          <xdr:cNvSpPr>
            <a:spLocks/>
          </xdr:cNvSpPr>
        </xdr:nvSpPr>
        <xdr:spPr>
          <a:xfrm>
            <a:off x="726" y="87"/>
            <a:ext cx="37" cy="19"/>
          </a:xfrm>
          <a:prstGeom prst="rect">
            <a:avLst/>
          </a:prstGeom>
          <a:solidFill>
            <a:srgbClr val="00FFFF"/>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FF0000"/>
                </a:solidFill>
                <a:latin typeface="Arial"/>
                <a:ea typeface="Arial"/>
                <a:cs typeface="Arial"/>
              </a:rPr>
              <a:t>54</a:t>
            </a:r>
            <a:r>
              <a:rPr lang="en-US" cap="none" sz="1000" b="0" i="0" u="none" baseline="0">
                <a:solidFill>
                  <a:srgbClr val="FF0000"/>
                </a:solidFill>
                <a:latin typeface="Arial"/>
                <a:ea typeface="Arial"/>
                <a:cs typeface="Arial"/>
              </a:rPr>
              <a:t>Xe</a:t>
            </a:r>
          </a:p>
        </xdr:txBody>
      </xdr:sp>
      <xdr:sp macro="[0]!Sheet1.Element89_Click">
        <xdr:nvSpPr>
          <xdr:cNvPr id="97" name="Rectangle 115"/>
          <xdr:cNvSpPr>
            <a:spLocks/>
          </xdr:cNvSpPr>
        </xdr:nvSpPr>
        <xdr:spPr>
          <a:xfrm>
            <a:off x="215" y="166"/>
            <a:ext cx="35" cy="20"/>
          </a:xfrm>
          <a:prstGeom prst="rect">
            <a:avLst/>
          </a:prstGeom>
          <a:solidFill>
            <a:srgbClr val="00FF00"/>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89</a:t>
            </a:r>
            <a:r>
              <a:rPr lang="en-US" cap="none" sz="1000" b="0" i="0" u="none" baseline="0">
                <a:solidFill>
                  <a:srgbClr val="000000"/>
                </a:solidFill>
                <a:latin typeface="Arial"/>
                <a:ea typeface="Arial"/>
                <a:cs typeface="Arial"/>
              </a:rPr>
              <a:t>Ac</a:t>
            </a:r>
          </a:p>
        </xdr:txBody>
      </xdr:sp>
      <xdr:sp macro="[0]!Sheet1.Element90_Click">
        <xdr:nvSpPr>
          <xdr:cNvPr id="98" name="Rectangle 116"/>
          <xdr:cNvSpPr>
            <a:spLocks/>
          </xdr:cNvSpPr>
        </xdr:nvSpPr>
        <xdr:spPr>
          <a:xfrm>
            <a:off x="250" y="166"/>
            <a:ext cx="35" cy="20"/>
          </a:xfrm>
          <a:prstGeom prst="rect">
            <a:avLst/>
          </a:prstGeom>
          <a:solidFill>
            <a:srgbClr val="00FF00"/>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90</a:t>
            </a:r>
            <a:r>
              <a:rPr lang="en-US" cap="none" sz="1000" b="0" i="0" u="none" baseline="0">
                <a:solidFill>
                  <a:srgbClr val="000000"/>
                </a:solidFill>
                <a:latin typeface="Arial"/>
                <a:ea typeface="Arial"/>
                <a:cs typeface="Arial"/>
              </a:rPr>
              <a:t>Th</a:t>
            </a:r>
          </a:p>
        </xdr:txBody>
      </xdr:sp>
      <xdr:sp macro="[0]!Sheet1.Element91_Click">
        <xdr:nvSpPr>
          <xdr:cNvPr id="99" name="Rectangle 117"/>
          <xdr:cNvSpPr>
            <a:spLocks/>
          </xdr:cNvSpPr>
        </xdr:nvSpPr>
        <xdr:spPr>
          <a:xfrm>
            <a:off x="285" y="166"/>
            <a:ext cx="35" cy="20"/>
          </a:xfrm>
          <a:prstGeom prst="rect">
            <a:avLst/>
          </a:prstGeom>
          <a:solidFill>
            <a:srgbClr val="00FF00"/>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91</a:t>
            </a:r>
            <a:r>
              <a:rPr lang="en-US" cap="none" sz="1000" b="0" i="0" u="none" baseline="0">
                <a:solidFill>
                  <a:srgbClr val="000000"/>
                </a:solidFill>
                <a:latin typeface="Arial"/>
                <a:ea typeface="Arial"/>
                <a:cs typeface="Arial"/>
              </a:rPr>
              <a:t>Pa</a:t>
            </a:r>
          </a:p>
        </xdr:txBody>
      </xdr:sp>
      <xdr:sp macro="[0]!Sheet1.Element92_Click">
        <xdr:nvSpPr>
          <xdr:cNvPr id="100" name="Rectangle 118"/>
          <xdr:cNvSpPr>
            <a:spLocks/>
          </xdr:cNvSpPr>
        </xdr:nvSpPr>
        <xdr:spPr>
          <a:xfrm>
            <a:off x="320" y="166"/>
            <a:ext cx="35" cy="20"/>
          </a:xfrm>
          <a:prstGeom prst="rect">
            <a:avLst/>
          </a:prstGeom>
          <a:solidFill>
            <a:srgbClr val="00FF00"/>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000000"/>
                </a:solidFill>
                <a:latin typeface="Arial"/>
                <a:ea typeface="Arial"/>
                <a:cs typeface="Arial"/>
              </a:rPr>
              <a:t>92</a:t>
            </a:r>
            <a:r>
              <a:rPr lang="en-US" cap="none" sz="1000" b="0" i="0" u="none" baseline="0">
                <a:solidFill>
                  <a:srgbClr val="000000"/>
                </a:solidFill>
                <a:latin typeface="Arial"/>
                <a:ea typeface="Arial"/>
                <a:cs typeface="Arial"/>
              </a:rPr>
              <a:t>U</a:t>
            </a:r>
          </a:p>
        </xdr:txBody>
      </xdr:sp>
      <xdr:sp macro="[0]!Sheet1.Element93_Click">
        <xdr:nvSpPr>
          <xdr:cNvPr id="101" name="Rectangle 119"/>
          <xdr:cNvSpPr>
            <a:spLocks/>
          </xdr:cNvSpPr>
        </xdr:nvSpPr>
        <xdr:spPr>
          <a:xfrm>
            <a:off x="355" y="166"/>
            <a:ext cx="38" cy="20"/>
          </a:xfrm>
          <a:prstGeom prst="rect">
            <a:avLst/>
          </a:prstGeom>
          <a:solidFill>
            <a:srgbClr val="00FF00"/>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808080"/>
                </a:solidFill>
                <a:latin typeface="Arial"/>
                <a:ea typeface="Arial"/>
                <a:cs typeface="Arial"/>
              </a:rPr>
              <a:t>93</a:t>
            </a:r>
            <a:r>
              <a:rPr lang="en-US" cap="none" sz="1000" b="0" i="0" u="none" baseline="0">
                <a:solidFill>
                  <a:srgbClr val="808080"/>
                </a:solidFill>
                <a:latin typeface="Arial"/>
                <a:ea typeface="Arial"/>
                <a:cs typeface="Arial"/>
              </a:rPr>
              <a:t>Np</a:t>
            </a:r>
          </a:p>
        </xdr:txBody>
      </xdr:sp>
      <xdr:sp macro="[0]!Sheet1.Element94_Click">
        <xdr:nvSpPr>
          <xdr:cNvPr id="102" name="Rectangle 120"/>
          <xdr:cNvSpPr>
            <a:spLocks/>
          </xdr:cNvSpPr>
        </xdr:nvSpPr>
        <xdr:spPr>
          <a:xfrm>
            <a:off x="393" y="166"/>
            <a:ext cx="37" cy="20"/>
          </a:xfrm>
          <a:prstGeom prst="rect">
            <a:avLst/>
          </a:prstGeom>
          <a:solidFill>
            <a:srgbClr val="00FF00"/>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808080"/>
                </a:solidFill>
                <a:latin typeface="Arial"/>
                <a:ea typeface="Arial"/>
                <a:cs typeface="Arial"/>
              </a:rPr>
              <a:t>94</a:t>
            </a:r>
            <a:r>
              <a:rPr lang="en-US" cap="none" sz="1000" b="0" i="0" u="none" baseline="0">
                <a:solidFill>
                  <a:srgbClr val="808080"/>
                </a:solidFill>
                <a:latin typeface="Arial"/>
                <a:ea typeface="Arial"/>
                <a:cs typeface="Arial"/>
              </a:rPr>
              <a:t>Pu</a:t>
            </a:r>
          </a:p>
        </xdr:txBody>
      </xdr:sp>
      <xdr:sp macro="[0]!Sheet1.Element95_Click">
        <xdr:nvSpPr>
          <xdr:cNvPr id="103" name="Rectangle 121"/>
          <xdr:cNvSpPr>
            <a:spLocks/>
          </xdr:cNvSpPr>
        </xdr:nvSpPr>
        <xdr:spPr>
          <a:xfrm>
            <a:off x="430" y="166"/>
            <a:ext cx="37" cy="20"/>
          </a:xfrm>
          <a:prstGeom prst="rect">
            <a:avLst/>
          </a:prstGeom>
          <a:solidFill>
            <a:srgbClr val="00FF00"/>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808080"/>
                </a:solidFill>
                <a:latin typeface="Arial"/>
                <a:ea typeface="Arial"/>
                <a:cs typeface="Arial"/>
              </a:rPr>
              <a:t>95</a:t>
            </a:r>
            <a:r>
              <a:rPr lang="en-US" cap="none" sz="1000" b="0" i="0" u="none" baseline="0">
                <a:solidFill>
                  <a:srgbClr val="808080"/>
                </a:solidFill>
                <a:latin typeface="Arial"/>
                <a:ea typeface="Arial"/>
                <a:cs typeface="Arial"/>
              </a:rPr>
              <a:t>Am</a:t>
            </a:r>
          </a:p>
        </xdr:txBody>
      </xdr:sp>
      <xdr:sp macro="[0]!Sheet1.Element96_Click">
        <xdr:nvSpPr>
          <xdr:cNvPr id="104" name="Rectangle 122"/>
          <xdr:cNvSpPr>
            <a:spLocks/>
          </xdr:cNvSpPr>
        </xdr:nvSpPr>
        <xdr:spPr>
          <a:xfrm>
            <a:off x="467" y="166"/>
            <a:ext cx="36" cy="20"/>
          </a:xfrm>
          <a:prstGeom prst="rect">
            <a:avLst/>
          </a:prstGeom>
          <a:solidFill>
            <a:srgbClr val="00FF00"/>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808080"/>
                </a:solidFill>
                <a:latin typeface="Arial"/>
                <a:ea typeface="Arial"/>
                <a:cs typeface="Arial"/>
              </a:rPr>
              <a:t>96</a:t>
            </a:r>
            <a:r>
              <a:rPr lang="en-US" cap="none" sz="1000" b="0" i="0" u="none" baseline="0">
                <a:solidFill>
                  <a:srgbClr val="808080"/>
                </a:solidFill>
                <a:latin typeface="Arial"/>
                <a:ea typeface="Arial"/>
                <a:cs typeface="Arial"/>
              </a:rPr>
              <a:t>Cm</a:t>
            </a:r>
          </a:p>
        </xdr:txBody>
      </xdr:sp>
      <xdr:sp macro="[0]!Sheet1.Element97_Click">
        <xdr:nvSpPr>
          <xdr:cNvPr id="105" name="Rectangle 123"/>
          <xdr:cNvSpPr>
            <a:spLocks/>
          </xdr:cNvSpPr>
        </xdr:nvSpPr>
        <xdr:spPr>
          <a:xfrm>
            <a:off x="503" y="166"/>
            <a:ext cx="36" cy="20"/>
          </a:xfrm>
          <a:prstGeom prst="rect">
            <a:avLst/>
          </a:prstGeom>
          <a:solidFill>
            <a:srgbClr val="00FF00"/>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808080"/>
                </a:solidFill>
                <a:latin typeface="Arial"/>
                <a:ea typeface="Arial"/>
                <a:cs typeface="Arial"/>
              </a:rPr>
              <a:t>97</a:t>
            </a:r>
            <a:r>
              <a:rPr lang="en-US" cap="none" sz="1000" b="0" i="0" u="none" baseline="0">
                <a:solidFill>
                  <a:srgbClr val="808080"/>
                </a:solidFill>
                <a:latin typeface="Arial"/>
                <a:ea typeface="Arial"/>
                <a:cs typeface="Arial"/>
              </a:rPr>
              <a:t>Bk</a:t>
            </a:r>
          </a:p>
        </xdr:txBody>
      </xdr:sp>
      <xdr:sp macro="[0]!Sheet1.Element98_Click">
        <xdr:nvSpPr>
          <xdr:cNvPr id="106" name="Rectangle 124"/>
          <xdr:cNvSpPr>
            <a:spLocks/>
          </xdr:cNvSpPr>
        </xdr:nvSpPr>
        <xdr:spPr>
          <a:xfrm>
            <a:off x="539" y="166"/>
            <a:ext cx="35" cy="20"/>
          </a:xfrm>
          <a:prstGeom prst="rect">
            <a:avLst/>
          </a:prstGeom>
          <a:solidFill>
            <a:srgbClr val="00FF00"/>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808080"/>
                </a:solidFill>
                <a:latin typeface="Arial"/>
                <a:ea typeface="Arial"/>
                <a:cs typeface="Arial"/>
              </a:rPr>
              <a:t>98</a:t>
            </a:r>
            <a:r>
              <a:rPr lang="en-US" cap="none" sz="1000" b="0" i="0" u="none" baseline="0">
                <a:solidFill>
                  <a:srgbClr val="808080"/>
                </a:solidFill>
                <a:latin typeface="Arial"/>
                <a:ea typeface="Arial"/>
                <a:cs typeface="Arial"/>
              </a:rPr>
              <a:t>Cf</a:t>
            </a:r>
          </a:p>
        </xdr:txBody>
      </xdr:sp>
      <xdr:sp macro="[0]!Sheet1.Element99_Click">
        <xdr:nvSpPr>
          <xdr:cNvPr id="107" name="Rectangle 125"/>
          <xdr:cNvSpPr>
            <a:spLocks/>
          </xdr:cNvSpPr>
        </xdr:nvSpPr>
        <xdr:spPr>
          <a:xfrm>
            <a:off x="574" y="166"/>
            <a:ext cx="35" cy="20"/>
          </a:xfrm>
          <a:prstGeom prst="rect">
            <a:avLst/>
          </a:prstGeom>
          <a:solidFill>
            <a:srgbClr val="00FF00"/>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808080"/>
                </a:solidFill>
                <a:latin typeface="Arial"/>
                <a:ea typeface="Arial"/>
                <a:cs typeface="Arial"/>
              </a:rPr>
              <a:t>99</a:t>
            </a:r>
            <a:r>
              <a:rPr lang="en-US" cap="none" sz="1000" b="0" i="0" u="none" baseline="0">
                <a:solidFill>
                  <a:srgbClr val="808080"/>
                </a:solidFill>
                <a:latin typeface="Arial"/>
                <a:ea typeface="Arial"/>
                <a:cs typeface="Arial"/>
              </a:rPr>
              <a:t>Es</a:t>
            </a:r>
          </a:p>
        </xdr:txBody>
      </xdr:sp>
      <xdr:sp macro="[0]!Sheet1.Element100_Click">
        <xdr:nvSpPr>
          <xdr:cNvPr id="108" name="Rectangle 126"/>
          <xdr:cNvSpPr>
            <a:spLocks/>
          </xdr:cNvSpPr>
        </xdr:nvSpPr>
        <xdr:spPr>
          <a:xfrm>
            <a:off x="609" y="166"/>
            <a:ext cx="39" cy="20"/>
          </a:xfrm>
          <a:prstGeom prst="rect">
            <a:avLst/>
          </a:prstGeom>
          <a:solidFill>
            <a:srgbClr val="00FF00"/>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808080"/>
                </a:solidFill>
                <a:latin typeface="Arial"/>
                <a:ea typeface="Arial"/>
                <a:cs typeface="Arial"/>
              </a:rPr>
              <a:t>100</a:t>
            </a:r>
            <a:r>
              <a:rPr lang="en-US" cap="none" sz="1000" b="0" i="0" u="none" baseline="0">
                <a:solidFill>
                  <a:srgbClr val="808080"/>
                </a:solidFill>
                <a:latin typeface="Arial"/>
                <a:ea typeface="Arial"/>
                <a:cs typeface="Arial"/>
              </a:rPr>
              <a:t>Fm</a:t>
            </a:r>
          </a:p>
        </xdr:txBody>
      </xdr:sp>
      <xdr:sp macro="[0]!Sheet1.Element101_Click">
        <xdr:nvSpPr>
          <xdr:cNvPr id="109" name="Rectangle 127"/>
          <xdr:cNvSpPr>
            <a:spLocks/>
          </xdr:cNvSpPr>
        </xdr:nvSpPr>
        <xdr:spPr>
          <a:xfrm>
            <a:off x="648" y="166"/>
            <a:ext cx="39" cy="20"/>
          </a:xfrm>
          <a:prstGeom prst="rect">
            <a:avLst/>
          </a:prstGeom>
          <a:solidFill>
            <a:srgbClr val="00FF00"/>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808080"/>
                </a:solidFill>
                <a:latin typeface="Arial"/>
                <a:ea typeface="Arial"/>
                <a:cs typeface="Arial"/>
              </a:rPr>
              <a:t>101</a:t>
            </a:r>
            <a:r>
              <a:rPr lang="en-US" cap="none" sz="1000" b="0" i="0" u="none" baseline="0">
                <a:solidFill>
                  <a:srgbClr val="808080"/>
                </a:solidFill>
                <a:latin typeface="Arial"/>
                <a:ea typeface="Arial"/>
                <a:cs typeface="Arial"/>
              </a:rPr>
              <a:t>Md</a:t>
            </a:r>
          </a:p>
        </xdr:txBody>
      </xdr:sp>
      <xdr:sp macro="[0]!Sheet1.Element102_Click">
        <xdr:nvSpPr>
          <xdr:cNvPr id="110" name="Rectangle 128"/>
          <xdr:cNvSpPr>
            <a:spLocks/>
          </xdr:cNvSpPr>
        </xdr:nvSpPr>
        <xdr:spPr>
          <a:xfrm>
            <a:off x="687" y="166"/>
            <a:ext cx="39" cy="20"/>
          </a:xfrm>
          <a:prstGeom prst="rect">
            <a:avLst/>
          </a:prstGeom>
          <a:solidFill>
            <a:srgbClr val="00FF00"/>
          </a:solidFill>
          <a:ln w="9525" cmpd="sng">
            <a:solidFill>
              <a:srgbClr val="000000"/>
            </a:solidFill>
            <a:headEnd type="none"/>
            <a:tailEnd type="none"/>
          </a:ln>
        </xdr:spPr>
        <xdr:txBody>
          <a:bodyPr vertOverflow="clip" wrap="square" lIns="27432" tIns="32004" rIns="27432" bIns="0"/>
          <a:p>
            <a:pPr algn="ctr">
              <a:defRPr/>
            </a:pPr>
            <a:r>
              <a:rPr lang="en-US" cap="none" sz="1000" b="0" i="0" u="none" baseline="-25000">
                <a:solidFill>
                  <a:srgbClr val="808080"/>
                </a:solidFill>
                <a:latin typeface="Arial"/>
                <a:ea typeface="Arial"/>
                <a:cs typeface="Arial"/>
              </a:rPr>
              <a:t>102</a:t>
            </a:r>
            <a:r>
              <a:rPr lang="en-US" cap="none" sz="1000" b="0" i="0" u="none" baseline="0">
                <a:solidFill>
                  <a:srgbClr val="808080"/>
                </a:solidFill>
                <a:latin typeface="Arial"/>
                <a:ea typeface="Arial"/>
                <a:cs typeface="Arial"/>
              </a:rPr>
              <a:t>No</a:t>
            </a:r>
          </a:p>
        </xdr:txBody>
      </xdr:sp>
    </xdr:grpSp>
    <xdr:clientData/>
  </xdr:twoCellAnchor>
  <xdr:oneCellAnchor>
    <xdr:from>
      <xdr:col>17</xdr:col>
      <xdr:colOff>1209675</xdr:colOff>
      <xdr:row>4</xdr:row>
      <xdr:rowOff>19050</xdr:rowOff>
    </xdr:from>
    <xdr:ext cx="1543050" cy="352425"/>
    <xdr:sp>
      <xdr:nvSpPr>
        <xdr:cNvPr id="111" name="AutoShape 129"/>
        <xdr:cNvSpPr>
          <a:spLocks/>
        </xdr:cNvSpPr>
      </xdr:nvSpPr>
      <xdr:spPr>
        <a:xfrm>
          <a:off x="8858250" y="742950"/>
          <a:ext cx="1543050" cy="352425"/>
        </a:xfrm>
        <a:prstGeom prst="borderCallout1">
          <a:avLst>
            <a:gd name="adj1" fmla="val 74703"/>
            <a:gd name="adj2" fmla="val 58106"/>
            <a:gd name="adj3" fmla="val 54703"/>
            <a:gd name="adj4" fmla="val -17569"/>
          </a:avLst>
        </a:prstGeom>
        <a:solidFill>
          <a:srgbClr val="DDDDDD"/>
        </a:solidFill>
        <a:ln w="9525" cmpd="sng">
          <a:solidFill>
            <a:srgbClr val="000000"/>
          </a:solidFill>
          <a:headEnd type="stealth"/>
          <a:tailEnd type="none"/>
        </a:ln>
      </xdr:spPr>
      <xdr:txBody>
        <a:bodyPr vertOverflow="clip" wrap="square" lIns="18288" tIns="22860" rIns="0" bIns="0">
          <a:spAutoFit/>
        </a:bodyPr>
        <a:p>
          <a:pPr algn="l">
            <a:defRPr/>
          </a:pPr>
          <a:r>
            <a:rPr lang="en-US" cap="none" sz="1000" b="1" i="0" u="none" baseline="0">
              <a:solidFill>
                <a:srgbClr val="0000FF"/>
              </a:solidFill>
              <a:latin typeface="Arial"/>
              <a:ea typeface="Arial"/>
              <a:cs typeface="Arial"/>
            </a:rPr>
            <a:t>4.  Select a structure</a:t>
          </a:r>
          <a:r>
            <a:rPr lang="en-US" cap="none" sz="1000" b="0" i="0" u="none" baseline="0">
              <a:solidFill>
                <a:srgbClr val="0000FF"/>
              </a:solidFill>
              <a:latin typeface="Arial"/>
              <a:ea typeface="Arial"/>
              <a:cs typeface="Arial"/>
            </a:rPr>
            <a:t> from 
</a:t>
          </a:r>
          <a:r>
            <a:rPr lang="en-US" cap="none" sz="1000" b="0" i="0" u="none" baseline="0">
              <a:solidFill>
                <a:srgbClr val="0000FF"/>
              </a:solidFill>
              <a:latin typeface="Arial"/>
              <a:ea typeface="Arial"/>
              <a:cs typeface="Arial"/>
            </a:rPr>
            <a:t>     the drop-down list.</a:t>
          </a:r>
        </a:p>
      </xdr:txBody>
    </xdr:sp>
    <xdr:clientData/>
  </xdr:oneCellAnchor>
  <xdr:oneCellAnchor>
    <xdr:from>
      <xdr:col>28</xdr:col>
      <xdr:colOff>190500</xdr:colOff>
      <xdr:row>0</xdr:row>
      <xdr:rowOff>66675</xdr:rowOff>
    </xdr:from>
    <xdr:ext cx="1571625" cy="514350"/>
    <xdr:sp>
      <xdr:nvSpPr>
        <xdr:cNvPr id="112" name="AutoShape 130"/>
        <xdr:cNvSpPr>
          <a:spLocks/>
        </xdr:cNvSpPr>
      </xdr:nvSpPr>
      <xdr:spPr>
        <a:xfrm>
          <a:off x="17135475" y="66675"/>
          <a:ext cx="1571625" cy="514350"/>
        </a:xfrm>
        <a:prstGeom prst="borderCallout3">
          <a:avLst>
            <a:gd name="adj1" fmla="val -47620"/>
            <a:gd name="adj2" fmla="val 105555"/>
            <a:gd name="adj3" fmla="val -57143"/>
            <a:gd name="adj4" fmla="val 92592"/>
            <a:gd name="adj5" fmla="val -57143"/>
            <a:gd name="adj6" fmla="val -27777"/>
            <a:gd name="adj7" fmla="val -53810"/>
            <a:gd name="adj8" fmla="val -27777"/>
          </a:avLst>
        </a:prstGeom>
        <a:solidFill>
          <a:srgbClr val="DDDDDD"/>
        </a:solidFill>
        <a:ln w="9525" cmpd="sng">
          <a:solidFill>
            <a:srgbClr val="000000"/>
          </a:solidFill>
          <a:headEnd type="stealth"/>
          <a:tailEnd type="none"/>
        </a:ln>
      </xdr:spPr>
      <xdr:txBody>
        <a:bodyPr vertOverflow="clip" wrap="square" lIns="18288" tIns="22860" rIns="0" bIns="0">
          <a:spAutoFit/>
        </a:bodyPr>
        <a:p>
          <a:pPr algn="l">
            <a:defRPr/>
          </a:pPr>
          <a:r>
            <a:rPr lang="en-US" cap="none" sz="1000" b="1" i="0" u="none" baseline="0">
              <a:solidFill>
                <a:srgbClr val="0000FF"/>
              </a:solidFill>
              <a:latin typeface="Arial"/>
              <a:ea typeface="Arial"/>
              <a:cs typeface="Arial"/>
            </a:rPr>
            <a:t>5.  Click </a:t>
          </a:r>
          <a:r>
            <a:rPr lang="en-US" cap="none" sz="1000" b="0" i="0" u="none" baseline="0">
              <a:solidFill>
                <a:srgbClr val="0000FF"/>
              </a:solidFill>
              <a:latin typeface="Arial"/>
              <a:ea typeface="Arial"/>
              <a:cs typeface="Arial"/>
            </a:rPr>
            <a:t>if the cation:anion 
</a:t>
          </a:r>
          <a:r>
            <a:rPr lang="en-US" cap="none" sz="1000" b="0" i="0" u="none" baseline="0">
              <a:solidFill>
                <a:srgbClr val="0000FF"/>
              </a:solidFill>
              <a:latin typeface="Arial"/>
              <a:ea typeface="Arial"/>
              <a:cs typeface="Arial"/>
            </a:rPr>
            <a:t>     ratio does not agree with
</a:t>
          </a:r>
          <a:r>
            <a:rPr lang="en-US" cap="none" sz="1000" b="0" i="0" u="none" baseline="0">
              <a:solidFill>
                <a:srgbClr val="0000FF"/>
              </a:solidFill>
              <a:latin typeface="Arial"/>
              <a:ea typeface="Arial"/>
              <a:cs typeface="Arial"/>
            </a:rPr>
            <a:t>     the selected structure.  </a:t>
          </a:r>
        </a:p>
      </xdr:txBody>
    </xdr:sp>
    <xdr:clientData/>
  </xdr:oneCellAnchor>
  <xdr:twoCellAnchor>
    <xdr:from>
      <xdr:col>32</xdr:col>
      <xdr:colOff>9525</xdr:colOff>
      <xdr:row>10</xdr:row>
      <xdr:rowOff>0</xdr:rowOff>
    </xdr:from>
    <xdr:to>
      <xdr:col>38</xdr:col>
      <xdr:colOff>523875</xdr:colOff>
      <xdr:row>30</xdr:row>
      <xdr:rowOff>0</xdr:rowOff>
    </xdr:to>
    <xdr:graphicFrame>
      <xdr:nvGraphicFramePr>
        <xdr:cNvPr id="113" name="Chart 133"/>
        <xdr:cNvGraphicFramePr/>
      </xdr:nvGraphicFramePr>
      <xdr:xfrm>
        <a:off x="20907375" y="1885950"/>
        <a:ext cx="4229100" cy="3505200"/>
      </xdr:xfrm>
      <a:graphic>
        <a:graphicData uri="http://schemas.openxmlformats.org/drawingml/2006/chart">
          <c:chart xmlns:c="http://schemas.openxmlformats.org/drawingml/2006/chart" r:id="rId2"/>
        </a:graphicData>
      </a:graphic>
    </xdr:graphicFrame>
    <xdr:clientData/>
  </xdr:twoCellAnchor>
  <xdr:twoCellAnchor editAs="oneCell">
    <xdr:from>
      <xdr:col>20</xdr:col>
      <xdr:colOff>38100</xdr:colOff>
      <xdr:row>2</xdr:row>
      <xdr:rowOff>47625</xdr:rowOff>
    </xdr:from>
    <xdr:to>
      <xdr:col>22</xdr:col>
      <xdr:colOff>114300</xdr:colOff>
      <xdr:row>4</xdr:row>
      <xdr:rowOff>161925</xdr:rowOff>
    </xdr:to>
    <xdr:pic>
      <xdr:nvPicPr>
        <xdr:cNvPr id="114" name="Picture 147"/>
        <xdr:cNvPicPr preferRelativeResize="1">
          <a:picLocks noChangeAspect="1"/>
        </xdr:cNvPicPr>
      </xdr:nvPicPr>
      <xdr:blipFill>
        <a:blip r:embed="rId3"/>
        <a:stretch>
          <a:fillRect/>
        </a:stretch>
      </xdr:blipFill>
      <xdr:spPr>
        <a:xfrm>
          <a:off x="10906125" y="409575"/>
          <a:ext cx="1714500" cy="476250"/>
        </a:xfrm>
        <a:prstGeom prst="rect">
          <a:avLst/>
        </a:prstGeom>
        <a:noFill/>
        <a:ln w="1" cmpd="sng">
          <a:noFill/>
        </a:ln>
      </xdr:spPr>
    </xdr:pic>
    <xdr:clientData/>
  </xdr:twoCellAnchor>
  <xdr:twoCellAnchor editAs="oneCell">
    <xdr:from>
      <xdr:col>44</xdr:col>
      <xdr:colOff>190500</xdr:colOff>
      <xdr:row>3</xdr:row>
      <xdr:rowOff>9525</xdr:rowOff>
    </xdr:from>
    <xdr:to>
      <xdr:col>47</xdr:col>
      <xdr:colOff>419100</xdr:colOff>
      <xdr:row>5</xdr:row>
      <xdr:rowOff>123825</xdr:rowOff>
    </xdr:to>
    <xdr:pic>
      <xdr:nvPicPr>
        <xdr:cNvPr id="115" name="Picture 148"/>
        <xdr:cNvPicPr preferRelativeResize="1">
          <a:picLocks noChangeAspect="1"/>
        </xdr:cNvPicPr>
      </xdr:nvPicPr>
      <xdr:blipFill>
        <a:blip r:embed="rId4"/>
        <a:stretch>
          <a:fillRect/>
        </a:stretch>
      </xdr:blipFill>
      <xdr:spPr>
        <a:xfrm>
          <a:off x="28527375" y="552450"/>
          <a:ext cx="2000250" cy="4762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600075</xdr:colOff>
      <xdr:row>4</xdr:row>
      <xdr:rowOff>38100</xdr:rowOff>
    </xdr:from>
    <xdr:ext cx="6162675" cy="3790950"/>
    <xdr:graphicFrame>
      <xdr:nvGraphicFramePr>
        <xdr:cNvPr id="1" name="Chart 1"/>
        <xdr:cNvGraphicFramePr/>
      </xdr:nvGraphicFramePr>
      <xdr:xfrm>
        <a:off x="600075" y="685800"/>
        <a:ext cx="6162675" cy="3790950"/>
      </xdr:xfrm>
      <a:graphic>
        <a:graphicData uri="http://schemas.openxmlformats.org/drawingml/2006/chart">
          <c:chart xmlns:c="http://schemas.openxmlformats.org/drawingml/2006/chart" r:id="rId1"/>
        </a:graphicData>
      </a:graphic>
    </xdr:graphicFrame>
    <xdr:clientData/>
  </xdr:oneCellAnchor>
  <xdr:oneCellAnchor>
    <xdr:from>
      <xdr:col>13</xdr:col>
      <xdr:colOff>9525</xdr:colOff>
      <xdr:row>4</xdr:row>
      <xdr:rowOff>47625</xdr:rowOff>
    </xdr:from>
    <xdr:ext cx="6162675" cy="3743325"/>
    <xdr:graphicFrame>
      <xdr:nvGraphicFramePr>
        <xdr:cNvPr id="2" name="Chart 2"/>
        <xdr:cNvGraphicFramePr/>
      </xdr:nvGraphicFramePr>
      <xdr:xfrm>
        <a:off x="7334250" y="695325"/>
        <a:ext cx="6162675" cy="3743325"/>
      </xdr:xfrm>
      <a:graphic>
        <a:graphicData uri="http://schemas.openxmlformats.org/drawingml/2006/chart">
          <c:chart xmlns:c="http://schemas.openxmlformats.org/drawingml/2006/chart" r:id="rId2"/>
        </a:graphicData>
      </a:graphic>
    </xdr:graphicFrame>
    <xdr:clientData/>
  </xdr:oneCellAnchor>
  <xdr:oneCellAnchor>
    <xdr:from>
      <xdr:col>26</xdr:col>
      <xdr:colOff>76200</xdr:colOff>
      <xdr:row>4</xdr:row>
      <xdr:rowOff>47625</xdr:rowOff>
    </xdr:from>
    <xdr:ext cx="6162675" cy="3743325"/>
    <xdr:graphicFrame>
      <xdr:nvGraphicFramePr>
        <xdr:cNvPr id="3" name="Chart 3"/>
        <xdr:cNvGraphicFramePr/>
      </xdr:nvGraphicFramePr>
      <xdr:xfrm>
        <a:off x="13849350" y="695325"/>
        <a:ext cx="6162675" cy="3743325"/>
      </xdr:xfrm>
      <a:graphic>
        <a:graphicData uri="http://schemas.openxmlformats.org/drawingml/2006/chart">
          <c:chart xmlns:c="http://schemas.openxmlformats.org/drawingml/2006/chart" r:id="rId3"/>
        </a:graphicData>
      </a:graphic>
    </xdr:graphicFrame>
    <xdr:clientData/>
  </xdr:oneCellAnchor>
  <xdr:oneCellAnchor>
    <xdr:from>
      <xdr:col>0</xdr:col>
      <xdr:colOff>581025</xdr:colOff>
      <xdr:row>142</xdr:row>
      <xdr:rowOff>9525</xdr:rowOff>
    </xdr:from>
    <xdr:ext cx="2171700" cy="371475"/>
    <xdr:grpSp>
      <xdr:nvGrpSpPr>
        <xdr:cNvPr id="4" name="Group 6"/>
        <xdr:cNvGrpSpPr>
          <a:grpSpLocks/>
        </xdr:cNvGrpSpPr>
      </xdr:nvGrpSpPr>
      <xdr:grpSpPr>
        <a:xfrm>
          <a:off x="581025" y="23031450"/>
          <a:ext cx="2171700" cy="371475"/>
          <a:chOff x="61" y="2385"/>
          <a:chExt cx="228" cy="45"/>
        </a:xfrm>
        <a:solidFill>
          <a:srgbClr val="FFFFFF"/>
        </a:solidFill>
      </xdr:grpSpPr>
      <xdr:sp>
        <xdr:nvSpPr>
          <xdr:cNvPr id="5" name="Text Box 7"/>
          <xdr:cNvSpPr txBox="1">
            <a:spLocks noChangeArrowheads="1"/>
          </xdr:cNvSpPr>
        </xdr:nvSpPr>
        <xdr:spPr>
          <a:xfrm>
            <a:off x="61" y="2385"/>
            <a:ext cx="181" cy="38"/>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Select which electronegativity scale to use.</a:t>
            </a:r>
          </a:p>
        </xdr:txBody>
      </xdr:sp>
      <xdr:sp>
        <xdr:nvSpPr>
          <xdr:cNvPr id="6" name="Line 8"/>
          <xdr:cNvSpPr>
            <a:spLocks/>
          </xdr:cNvSpPr>
        </xdr:nvSpPr>
        <xdr:spPr>
          <a:xfrm>
            <a:off x="242" y="2405"/>
            <a:ext cx="47" cy="25"/>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oneCellAnchor>
  <xdr:oneCellAnchor>
    <xdr:from>
      <xdr:col>1</xdr:col>
      <xdr:colOff>590550</xdr:colOff>
      <xdr:row>0</xdr:row>
      <xdr:rowOff>0</xdr:rowOff>
    </xdr:from>
    <xdr:ext cx="6838950" cy="190500"/>
    <xdr:sp>
      <xdr:nvSpPr>
        <xdr:cNvPr id="7" name="AutoShape 12"/>
        <xdr:cNvSpPr>
          <a:spLocks/>
        </xdr:cNvSpPr>
      </xdr:nvSpPr>
      <xdr:spPr>
        <a:xfrm>
          <a:off x="1200150" y="0"/>
          <a:ext cx="6838950" cy="190500"/>
        </a:xfrm>
        <a:prstGeom prst="borderCallout3">
          <a:avLst>
            <a:gd name="adj1" fmla="val -50555"/>
            <a:gd name="adj2" fmla="val 204999"/>
            <a:gd name="adj3" fmla="val -52217"/>
            <a:gd name="adj4" fmla="val 160000"/>
            <a:gd name="adj5" fmla="val -52217"/>
            <a:gd name="adj6" fmla="val 9999"/>
            <a:gd name="adj7" fmla="val -51106"/>
            <a:gd name="adj8" fmla="val 9999"/>
          </a:avLst>
        </a:prstGeom>
        <a:solidFill>
          <a:srgbClr val="DDDDDD"/>
        </a:solidFill>
        <a:ln w="9525" cmpd="sng">
          <a:solidFill>
            <a:srgbClr val="000000"/>
          </a:solidFill>
          <a:headEnd type="stealth"/>
          <a:tailEnd type="none"/>
        </a:ln>
      </xdr:spPr>
      <xdr:txBody>
        <a:bodyPr vertOverflow="clip" wrap="square" lIns="18288" tIns="22860" rIns="0" bIns="0">
          <a:spAutoFit/>
        </a:bodyPr>
        <a:p>
          <a:pPr algn="l">
            <a:defRPr/>
          </a:pPr>
          <a:r>
            <a:rPr lang="en-US" cap="none" sz="1000" b="1" i="0" u="none" baseline="0">
              <a:solidFill>
                <a:srgbClr val="0000FF"/>
              </a:solidFill>
              <a:latin typeface="Arial"/>
              <a:ea typeface="Arial"/>
              <a:cs typeface="Arial"/>
            </a:rPr>
            <a:t>Enter a 1:1 compound's anion and cation (without charges), and the compound will appear in the structure maps.</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857250</xdr:colOff>
      <xdr:row>0</xdr:row>
      <xdr:rowOff>47625</xdr:rowOff>
    </xdr:from>
    <xdr:ext cx="6610350" cy="314325"/>
    <xdr:sp>
      <xdr:nvSpPr>
        <xdr:cNvPr id="1" name="AutoShape 5"/>
        <xdr:cNvSpPr>
          <a:spLocks/>
        </xdr:cNvSpPr>
      </xdr:nvSpPr>
      <xdr:spPr>
        <a:xfrm>
          <a:off x="857250" y="47625"/>
          <a:ext cx="6610350" cy="314325"/>
        </a:xfrm>
        <a:prstGeom prst="borderCallout3">
          <a:avLst>
            <a:gd name="adj1" fmla="val -44620"/>
            <a:gd name="adj2" fmla="val 163513"/>
            <a:gd name="adj3" fmla="val -52763"/>
            <a:gd name="adj4" fmla="val 77027"/>
            <a:gd name="adj5" fmla="val -52763"/>
            <a:gd name="adj6" fmla="val -17569"/>
            <a:gd name="adj7" fmla="val -51162"/>
            <a:gd name="adj8" fmla="val -17569"/>
          </a:avLst>
        </a:prstGeom>
        <a:solidFill>
          <a:srgbClr val="DDDDDD"/>
        </a:solidFill>
        <a:ln w="9525" cmpd="sng">
          <a:solidFill>
            <a:srgbClr val="000000"/>
          </a:solidFill>
          <a:headEnd type="stealth"/>
          <a:tailEnd type="none"/>
        </a:ln>
      </xdr:spPr>
      <xdr:txBody>
        <a:bodyPr vertOverflow="clip" wrap="square" lIns="18288" tIns="22860" rIns="0" bIns="0">
          <a:spAutoFit/>
        </a:bodyPr>
        <a:p>
          <a:pPr algn="l">
            <a:defRPr/>
          </a:pPr>
          <a:r>
            <a:rPr lang="en-US" cap="none" sz="1000" b="1" i="0" u="none" baseline="0">
              <a:solidFill>
                <a:srgbClr val="0000FF"/>
              </a:solidFill>
              <a:latin typeface="Arial"/>
              <a:ea typeface="Arial"/>
              <a:cs typeface="Arial"/>
            </a:rPr>
            <a:t>To calculate a compound's Kapustinsky lattice energy, select the anion and cation from the drop-down lists.
</a:t>
          </a:r>
          <a:r>
            <a:rPr lang="en-US" cap="none" sz="1000" b="1" i="0" u="none" baseline="0">
              <a:solidFill>
                <a:srgbClr val="0000FF"/>
              </a:solidFill>
              <a:latin typeface="Arial"/>
              <a:ea typeface="Arial"/>
              <a:cs typeface="Arial"/>
            </a:rPr>
            <a:t>     </a:t>
          </a:r>
          <a:r>
            <a:rPr lang="en-US" cap="none" sz="1000" b="0" i="0" u="none" baseline="0">
              <a:solidFill>
                <a:srgbClr val="0000FF"/>
              </a:solidFill>
              <a:latin typeface="Arial"/>
              <a:ea typeface="Arial"/>
              <a:cs typeface="Arial"/>
            </a:rPr>
            <a:t>NOTE:  Cell G8 on this sheet requires that the analysis toolpak be installed (Tools/Add-Ins.../Analysis ToolPak).</a:t>
          </a:r>
        </a:p>
      </xdr:txBody>
    </xdr:sp>
    <xdr:clientData/>
  </xdr:oneCellAnchor>
  <xdr:twoCellAnchor editAs="oneCell">
    <xdr:from>
      <xdr:col>8</xdr:col>
      <xdr:colOff>152400</xdr:colOff>
      <xdr:row>4</xdr:row>
      <xdr:rowOff>9525</xdr:rowOff>
    </xdr:from>
    <xdr:to>
      <xdr:col>10</xdr:col>
      <xdr:colOff>409575</xdr:colOff>
      <xdr:row>11</xdr:row>
      <xdr:rowOff>0</xdr:rowOff>
    </xdr:to>
    <xdr:pic>
      <xdr:nvPicPr>
        <xdr:cNvPr id="2" name="Picture 13"/>
        <xdr:cNvPicPr preferRelativeResize="1">
          <a:picLocks noChangeAspect="1"/>
        </xdr:cNvPicPr>
      </xdr:nvPicPr>
      <xdr:blipFill>
        <a:blip r:embed="rId1"/>
        <a:stretch>
          <a:fillRect/>
        </a:stretch>
      </xdr:blipFill>
      <xdr:spPr>
        <a:xfrm>
          <a:off x="6162675" y="1143000"/>
          <a:ext cx="1647825" cy="11239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7</xdr:row>
      <xdr:rowOff>38100</xdr:rowOff>
    </xdr:from>
    <xdr:to>
      <xdr:col>14</xdr:col>
      <xdr:colOff>361950</xdr:colOff>
      <xdr:row>21</xdr:row>
      <xdr:rowOff>85725</xdr:rowOff>
    </xdr:to>
    <xdr:pic>
      <xdr:nvPicPr>
        <xdr:cNvPr id="1" name="Picture 1"/>
        <xdr:cNvPicPr preferRelativeResize="1">
          <a:picLocks noChangeAspect="1"/>
        </xdr:cNvPicPr>
      </xdr:nvPicPr>
      <xdr:blipFill>
        <a:blip r:embed="rId1"/>
        <a:stretch>
          <a:fillRect/>
        </a:stretch>
      </xdr:blipFill>
      <xdr:spPr>
        <a:xfrm>
          <a:off x="628650" y="1171575"/>
          <a:ext cx="8534400" cy="2314575"/>
        </a:xfrm>
        <a:prstGeom prst="rect">
          <a:avLst/>
        </a:prstGeom>
        <a:noFill/>
        <a:ln w="1" cmpd="sng">
          <a:noFill/>
        </a:ln>
      </xdr:spPr>
    </xdr:pic>
    <xdr:clientData/>
  </xdr:twoCellAnchor>
  <xdr:twoCellAnchor editAs="absolute">
    <xdr:from>
      <xdr:col>0</xdr:col>
      <xdr:colOff>47625</xdr:colOff>
      <xdr:row>3</xdr:row>
      <xdr:rowOff>114300</xdr:rowOff>
    </xdr:from>
    <xdr:to>
      <xdr:col>2</xdr:col>
      <xdr:colOff>19050</xdr:colOff>
      <xdr:row>6</xdr:row>
      <xdr:rowOff>123825</xdr:rowOff>
    </xdr:to>
    <xdr:sp>
      <xdr:nvSpPr>
        <xdr:cNvPr id="2" name="AutoShape 2"/>
        <xdr:cNvSpPr>
          <a:spLocks/>
        </xdr:cNvSpPr>
      </xdr:nvSpPr>
      <xdr:spPr>
        <a:xfrm>
          <a:off x="47625" y="600075"/>
          <a:ext cx="1190625" cy="495300"/>
        </a:xfrm>
        <a:prstGeom prst="callout1">
          <a:avLst>
            <a:gd name="adj1" fmla="val 74000"/>
            <a:gd name="adj2" fmla="val 109615"/>
            <a:gd name="adj3" fmla="val 56398"/>
            <a:gd name="adj4" fmla="val -26921"/>
          </a:avLst>
        </a:prstGeom>
        <a:solidFill>
          <a:srgbClr val="FFFFFF"/>
        </a:solidFill>
        <a:ln w="12700" cmpd="sng">
          <a:solidFill>
            <a:srgbClr val="000000"/>
          </a:solidFill>
          <a:headEnd type="arrow"/>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1)</a:t>
          </a:r>
          <a:r>
            <a:rPr lang="en-US" cap="none" sz="1000" b="0" i="0" u="none" baseline="0">
              <a:solidFill>
                <a:srgbClr val="000000"/>
              </a:solidFill>
              <a:latin typeface="Arial"/>
              <a:ea typeface="Arial"/>
              <a:cs typeface="Arial"/>
            </a:rPr>
            <a:t>  Click on an element that is to be a cation or anion.</a:t>
          </a:r>
        </a:p>
      </xdr:txBody>
    </xdr:sp>
    <xdr:clientData/>
  </xdr:twoCellAnchor>
  <xdr:twoCellAnchor editAs="absolute">
    <xdr:from>
      <xdr:col>0</xdr:col>
      <xdr:colOff>19050</xdr:colOff>
      <xdr:row>14</xdr:row>
      <xdr:rowOff>142875</xdr:rowOff>
    </xdr:from>
    <xdr:to>
      <xdr:col>2</xdr:col>
      <xdr:colOff>466725</xdr:colOff>
      <xdr:row>20</xdr:row>
      <xdr:rowOff>38100</xdr:rowOff>
    </xdr:to>
    <xdr:sp>
      <xdr:nvSpPr>
        <xdr:cNvPr id="3" name="AutoShape 3"/>
        <xdr:cNvSpPr>
          <a:spLocks/>
        </xdr:cNvSpPr>
      </xdr:nvSpPr>
      <xdr:spPr>
        <a:xfrm>
          <a:off x="19050" y="2409825"/>
          <a:ext cx="1666875" cy="866775"/>
        </a:xfrm>
        <a:prstGeom prst="callout1">
          <a:avLst>
            <a:gd name="adj1" fmla="val 89999"/>
            <a:gd name="adj2" fmla="val -70879"/>
            <a:gd name="adj3" fmla="val 54569"/>
            <a:gd name="adj4" fmla="val -36814"/>
          </a:avLst>
        </a:prstGeom>
        <a:solidFill>
          <a:srgbClr val="FFFFFF"/>
        </a:solidFill>
        <a:ln w="12700" cmpd="sng">
          <a:solidFill>
            <a:srgbClr val="000000"/>
          </a:solidFill>
          <a:headEnd type="arrow"/>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2)</a:t>
          </a:r>
          <a:r>
            <a:rPr lang="en-US" cap="none" sz="1000" b="0" i="0" u="none" baseline="0">
              <a:solidFill>
                <a:srgbClr val="000000"/>
              </a:solidFill>
              <a:latin typeface="Arial"/>
              <a:ea typeface="Arial"/>
              <a:cs typeface="Arial"/>
            </a:rPr>
            <a:t>  The ionic radii of the element then appears here.  Click on the line containing the desired charge and coordination number.</a:t>
          </a:r>
        </a:p>
      </xdr:txBody>
    </xdr:sp>
    <xdr:clientData/>
  </xdr:twoCellAnchor>
  <xdr:twoCellAnchor editAs="absolute">
    <xdr:from>
      <xdr:col>0</xdr:col>
      <xdr:colOff>171450</xdr:colOff>
      <xdr:row>21</xdr:row>
      <xdr:rowOff>104775</xdr:rowOff>
    </xdr:from>
    <xdr:to>
      <xdr:col>2</xdr:col>
      <xdr:colOff>371475</xdr:colOff>
      <xdr:row>27</xdr:row>
      <xdr:rowOff>114300</xdr:rowOff>
    </xdr:to>
    <xdr:sp>
      <xdr:nvSpPr>
        <xdr:cNvPr id="4" name="AutoShape 4"/>
        <xdr:cNvSpPr>
          <a:spLocks/>
        </xdr:cNvSpPr>
      </xdr:nvSpPr>
      <xdr:spPr>
        <a:xfrm>
          <a:off x="171450" y="3505200"/>
          <a:ext cx="1419225" cy="981075"/>
        </a:xfrm>
        <a:prstGeom prst="callout1">
          <a:avLst>
            <a:gd name="adj1" fmla="val 66777"/>
            <a:gd name="adj2" fmla="val -193689"/>
            <a:gd name="adj3" fmla="val 55370"/>
            <a:gd name="adj4" fmla="val -38347"/>
          </a:avLst>
        </a:prstGeom>
        <a:solidFill>
          <a:srgbClr val="FFFFFF"/>
        </a:solidFill>
        <a:ln w="12700" cmpd="sng">
          <a:solidFill>
            <a:srgbClr val="000000"/>
          </a:solidFill>
          <a:headEnd type="arrow"/>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3)</a:t>
          </a:r>
          <a:r>
            <a:rPr lang="en-US" cap="none" sz="1000" b="0" i="0" u="none" baseline="0">
              <a:solidFill>
                <a:srgbClr val="000000"/>
              </a:solidFill>
              <a:latin typeface="Arial"/>
              <a:ea typeface="Arial"/>
              <a:cs typeface="Arial"/>
            </a:rPr>
            <a:t>  Click this button to copy the ion's data to the calculation cells (colored light yellow).
</a:t>
          </a:r>
          <a:r>
            <a:rPr lang="en-US" cap="none" sz="1000" b="0" i="0" u="none" baseline="0">
              <a:solidFill>
                <a:srgbClr val="000000"/>
              </a:solidFill>
              <a:latin typeface="Arial"/>
              <a:ea typeface="Arial"/>
              <a:cs typeface="Arial"/>
            </a:rPr>
            <a:t>Repeat steps 1-3 for the counter ion.</a:t>
          </a:r>
        </a:p>
      </xdr:txBody>
    </xdr:sp>
    <xdr:clientData/>
  </xdr:twoCellAnchor>
  <xdr:twoCellAnchor editAs="absolute">
    <xdr:from>
      <xdr:col>3</xdr:col>
      <xdr:colOff>409575</xdr:colOff>
      <xdr:row>2</xdr:row>
      <xdr:rowOff>114300</xdr:rowOff>
    </xdr:from>
    <xdr:to>
      <xdr:col>6</xdr:col>
      <xdr:colOff>114300</xdr:colOff>
      <xdr:row>6</xdr:row>
      <xdr:rowOff>123825</xdr:rowOff>
    </xdr:to>
    <xdr:sp>
      <xdr:nvSpPr>
        <xdr:cNvPr id="5" name="AutoShape 5"/>
        <xdr:cNvSpPr>
          <a:spLocks/>
        </xdr:cNvSpPr>
      </xdr:nvSpPr>
      <xdr:spPr>
        <a:xfrm>
          <a:off x="2238375" y="438150"/>
          <a:ext cx="1695450" cy="657225"/>
        </a:xfrm>
        <a:prstGeom prst="callout1">
          <a:avLst>
            <a:gd name="adj1" fmla="val 57305"/>
            <a:gd name="adj2" fmla="val 113768"/>
            <a:gd name="adj3" fmla="val 54495"/>
            <a:gd name="adj4" fmla="val -32606"/>
          </a:avLst>
        </a:prstGeom>
        <a:solidFill>
          <a:srgbClr val="FFFFFF"/>
        </a:solidFill>
        <a:ln w="12700" cmpd="sng">
          <a:solidFill>
            <a:srgbClr val="000000"/>
          </a:solidFill>
          <a:headEnd type="arrow"/>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4)</a:t>
          </a:r>
          <a:r>
            <a:rPr lang="en-US" cap="none" sz="1000" b="0" i="0" u="none" baseline="0">
              <a:solidFill>
                <a:srgbClr val="000000"/>
              </a:solidFill>
              <a:latin typeface="Arial"/>
              <a:ea typeface="Arial"/>
              <a:cs typeface="Arial"/>
            </a:rPr>
            <a:t>  Select the appropriate Madelung constant from the drop-down list.  The lattice energy will be updated.</a:t>
          </a:r>
        </a:p>
      </xdr:txBody>
    </xdr:sp>
    <xdr:clientData/>
  </xdr:twoCellAnchor>
  <xdr:twoCellAnchor editAs="absolute">
    <xdr:from>
      <xdr:col>9</xdr:col>
      <xdr:colOff>133350</xdr:colOff>
      <xdr:row>3</xdr:row>
      <xdr:rowOff>104775</xdr:rowOff>
    </xdr:from>
    <xdr:to>
      <xdr:col>11</xdr:col>
      <xdr:colOff>257175</xdr:colOff>
      <xdr:row>7</xdr:row>
      <xdr:rowOff>0</xdr:rowOff>
    </xdr:to>
    <xdr:sp>
      <xdr:nvSpPr>
        <xdr:cNvPr id="6" name="AutoShape 6"/>
        <xdr:cNvSpPr>
          <a:spLocks/>
        </xdr:cNvSpPr>
      </xdr:nvSpPr>
      <xdr:spPr>
        <a:xfrm>
          <a:off x="6191250" y="590550"/>
          <a:ext cx="1343025" cy="542925"/>
        </a:xfrm>
        <a:prstGeom prst="callout1">
          <a:avLst>
            <a:gd name="adj1" fmla="val -66310"/>
            <a:gd name="adj2" fmla="val 107893"/>
            <a:gd name="adj3" fmla="val -55675"/>
            <a:gd name="adj4" fmla="val -28949"/>
          </a:avLst>
        </a:prstGeom>
        <a:solidFill>
          <a:srgbClr val="FFFFFF"/>
        </a:solidFill>
        <a:ln w="12700" cmpd="sng">
          <a:solidFill>
            <a:srgbClr val="000000"/>
          </a:solidFill>
          <a:headEnd type="arrow"/>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5)</a:t>
          </a:r>
          <a:r>
            <a:rPr lang="en-US" cap="none" sz="1000" b="0" i="0" u="none" baseline="0">
              <a:solidFill>
                <a:srgbClr val="000000"/>
              </a:solidFill>
              <a:latin typeface="Arial"/>
              <a:ea typeface="Arial"/>
              <a:cs typeface="Arial"/>
            </a:rPr>
            <a:t>  To update the chemical reactions, click this button.</a:t>
          </a:r>
        </a:p>
      </xdr:txBody>
    </xdr:sp>
    <xdr:clientData/>
  </xdr:twoCellAnchor>
  <xdr:twoCellAnchor editAs="absolute">
    <xdr:from>
      <xdr:col>3</xdr:col>
      <xdr:colOff>400050</xdr:colOff>
      <xdr:row>22</xdr:row>
      <xdr:rowOff>95250</xdr:rowOff>
    </xdr:from>
    <xdr:to>
      <xdr:col>5</xdr:col>
      <xdr:colOff>838200</xdr:colOff>
      <xdr:row>24</xdr:row>
      <xdr:rowOff>114300</xdr:rowOff>
    </xdr:to>
    <xdr:sp>
      <xdr:nvSpPr>
        <xdr:cNvPr id="7" name="AutoShape 7"/>
        <xdr:cNvSpPr>
          <a:spLocks/>
        </xdr:cNvSpPr>
      </xdr:nvSpPr>
      <xdr:spPr>
        <a:xfrm>
          <a:off x="2228850" y="3657600"/>
          <a:ext cx="1323975" cy="342900"/>
        </a:xfrm>
        <a:prstGeom prst="callout1">
          <a:avLst>
            <a:gd name="adj1" fmla="val -58634"/>
            <a:gd name="adj2" fmla="val -111111"/>
            <a:gd name="adj3" fmla="val -55754"/>
            <a:gd name="adj4" fmla="val -16666"/>
          </a:avLst>
        </a:prstGeom>
        <a:solidFill>
          <a:srgbClr val="FFFFFF"/>
        </a:solidFill>
        <a:ln w="12700" cmpd="sng">
          <a:solidFill>
            <a:srgbClr val="000000"/>
          </a:solidFill>
          <a:headEnd type="arrow"/>
          <a:tailEnd type="none"/>
        </a:ln>
      </xdr:spPr>
      <xdr:txBody>
        <a:bodyPr vertOverflow="clip" wrap="square" lIns="27432" tIns="22860" rIns="0" bIns="0"/>
        <a:p>
          <a:pPr algn="l">
            <a:defRPr/>
          </a:pPr>
          <a:r>
            <a:rPr lang="en-US" cap="none" sz="900" b="0" i="1" u="none" baseline="0">
              <a:solidFill>
                <a:srgbClr val="000000"/>
              </a:solidFill>
              <a:latin typeface="Arial"/>
              <a:ea typeface="Arial"/>
              <a:cs typeface="Arial"/>
            </a:rPr>
            <a:t>Element data
</a:t>
          </a:r>
          <a:r>
            <a:rPr lang="en-US" cap="none" sz="900" b="0" i="1" u="none" baseline="0">
              <a:solidFill>
                <a:srgbClr val="000000"/>
              </a:solidFill>
              <a:latin typeface="Arial"/>
              <a:ea typeface="Arial"/>
              <a:cs typeface="Arial"/>
            </a:rPr>
            <a:t>(Not needed by user)</a:t>
          </a:r>
        </a:p>
      </xdr:txBody>
    </xdr:sp>
    <xdr:clientData/>
  </xdr:twoCellAnchor>
  <xdr:twoCellAnchor editAs="absolute">
    <xdr:from>
      <xdr:col>11</xdr:col>
      <xdr:colOff>133350</xdr:colOff>
      <xdr:row>22</xdr:row>
      <xdr:rowOff>133350</xdr:rowOff>
    </xdr:from>
    <xdr:to>
      <xdr:col>13</xdr:col>
      <xdr:colOff>457200</xdr:colOff>
      <xdr:row>24</xdr:row>
      <xdr:rowOff>152400</xdr:rowOff>
    </xdr:to>
    <xdr:sp>
      <xdr:nvSpPr>
        <xdr:cNvPr id="8" name="AutoShape 8"/>
        <xdr:cNvSpPr>
          <a:spLocks/>
        </xdr:cNvSpPr>
      </xdr:nvSpPr>
      <xdr:spPr>
        <a:xfrm>
          <a:off x="7410450" y="3695700"/>
          <a:ext cx="1228725" cy="342900"/>
        </a:xfrm>
        <a:prstGeom prst="callout1">
          <a:avLst>
            <a:gd name="adj1" fmla="val 65504"/>
            <a:gd name="adj2" fmla="val -108333"/>
            <a:gd name="adj3" fmla="val 56203"/>
            <a:gd name="adj4" fmla="val -16666"/>
          </a:avLst>
        </a:prstGeom>
        <a:solidFill>
          <a:srgbClr val="FFFFFF"/>
        </a:solidFill>
        <a:ln w="12700" cmpd="sng">
          <a:solidFill>
            <a:srgbClr val="000000"/>
          </a:solidFill>
          <a:headEnd type="arrow"/>
          <a:tailEnd type="none"/>
        </a:ln>
      </xdr:spPr>
      <xdr:txBody>
        <a:bodyPr vertOverflow="clip" wrap="square" lIns="0" tIns="22860" rIns="27432" bIns="0"/>
        <a:p>
          <a:pPr algn="r">
            <a:defRPr/>
          </a:pPr>
          <a:r>
            <a:rPr lang="en-US" cap="none" sz="900" b="0" i="1" u="none" baseline="0">
              <a:solidFill>
                <a:srgbClr val="000000"/>
              </a:solidFill>
              <a:latin typeface="Arial"/>
              <a:ea typeface="Arial"/>
              <a:cs typeface="Arial"/>
            </a:rPr>
            <a:t>Graph data
</a:t>
          </a:r>
          <a:r>
            <a:rPr lang="en-US" cap="none" sz="900" b="0" i="1" u="none" baseline="0">
              <a:solidFill>
                <a:srgbClr val="000000"/>
              </a:solidFill>
              <a:latin typeface="Arial"/>
              <a:ea typeface="Arial"/>
              <a:cs typeface="Arial"/>
            </a:rPr>
            <a:t>(Not needed by user)</a:t>
          </a:r>
        </a:p>
      </xdr:txBody>
    </xdr:sp>
    <xdr:clientData/>
  </xdr:twoCellAnchor>
  <xdr:twoCellAnchor editAs="absolute">
    <xdr:from>
      <xdr:col>7</xdr:col>
      <xdr:colOff>142875</xdr:colOff>
      <xdr:row>21</xdr:row>
      <xdr:rowOff>76200</xdr:rowOff>
    </xdr:from>
    <xdr:to>
      <xdr:col>9</xdr:col>
      <xdr:colOff>514350</xdr:colOff>
      <xdr:row>27</xdr:row>
      <xdr:rowOff>85725</xdr:rowOff>
    </xdr:to>
    <xdr:sp>
      <xdr:nvSpPr>
        <xdr:cNvPr id="9" name="AutoShape 9"/>
        <xdr:cNvSpPr>
          <a:spLocks/>
        </xdr:cNvSpPr>
      </xdr:nvSpPr>
      <xdr:spPr>
        <a:xfrm>
          <a:off x="4924425" y="3476625"/>
          <a:ext cx="1647825" cy="981075"/>
        </a:xfrm>
        <a:prstGeom prst="callout1">
          <a:avLst>
            <a:gd name="adj1" fmla="val -65606"/>
            <a:gd name="adj2" fmla="val -76212"/>
            <a:gd name="adj3" fmla="val -54625"/>
            <a:gd name="adj4" fmla="val -38347"/>
          </a:avLst>
        </a:prstGeom>
        <a:solidFill>
          <a:srgbClr val="FFFFFF"/>
        </a:solidFill>
        <a:ln w="12700" cmpd="sng">
          <a:solidFill>
            <a:srgbClr val="000000"/>
          </a:solidFill>
          <a:headEnd type="arrow"/>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If you don't find a Madelung constant for your compound, create a "generic" constant by entering the number of ions in the formula unit.</a:t>
          </a:r>
        </a:p>
      </xdr:txBody>
    </xdr:sp>
    <xdr:clientData/>
  </xdr:twoCellAnchor>
  <xdr:twoCellAnchor editAs="absolute">
    <xdr:from>
      <xdr:col>11</xdr:col>
      <xdr:colOff>333375</xdr:colOff>
      <xdr:row>4</xdr:row>
      <xdr:rowOff>28575</xdr:rowOff>
    </xdr:from>
    <xdr:to>
      <xdr:col>13</xdr:col>
      <xdr:colOff>609600</xdr:colOff>
      <xdr:row>7</xdr:row>
      <xdr:rowOff>47625</xdr:rowOff>
    </xdr:to>
    <xdr:sp>
      <xdr:nvSpPr>
        <xdr:cNvPr id="10" name="AutoShape 10"/>
        <xdr:cNvSpPr>
          <a:spLocks/>
        </xdr:cNvSpPr>
      </xdr:nvSpPr>
      <xdr:spPr>
        <a:xfrm>
          <a:off x="7610475" y="676275"/>
          <a:ext cx="1181100" cy="504825"/>
        </a:xfrm>
        <a:prstGeom prst="callout1">
          <a:avLst>
            <a:gd name="adj1" fmla="val 66129"/>
            <a:gd name="adj2" fmla="val 74527"/>
            <a:gd name="adj3" fmla="val 56453"/>
            <a:gd name="adj4" fmla="val -27356"/>
          </a:avLst>
        </a:prstGeom>
        <a:solidFill>
          <a:srgbClr val="FFFFFF"/>
        </a:solidFill>
        <a:ln w="12700" cmpd="sng">
          <a:solidFill>
            <a:srgbClr val="000000"/>
          </a:solidFill>
          <a:headEnd type="arrow"/>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Here, the enthalpy of solution is estimated.</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0.6685</cdr:x>
      <cdr:y>0.57975</cdr:y>
    </cdr:from>
    <cdr:to>
      <cdr:x>0.77225</cdr:x>
      <cdr:y>0.68175</cdr:y>
    </cdr:to>
    <cdr:sp>
      <cdr:nvSpPr>
        <cdr:cNvPr id="1" name="Rectangle 1"/>
        <cdr:cNvSpPr>
          <a:spLocks/>
        </cdr:cNvSpPr>
      </cdr:nvSpPr>
      <cdr:spPr>
        <a:xfrm>
          <a:off x="2562225" y="1457325"/>
          <a:ext cx="400050" cy="257175"/>
        </a:xfrm>
        <a:prstGeom prst="rect">
          <a:avLst/>
        </a:prstGeom>
        <a:noFill/>
        <a:ln w="9525" cmpd="sng">
          <a:noFill/>
        </a:ln>
      </cdr:spPr>
      <cdr:txBody>
        <a:bodyPr vertOverflow="clip" wrap="square" lIns="18288" tIns="22860" rIns="0" bIns="0">
          <a:spAutoFit/>
        </a:bodyPr>
        <a:p>
          <a:pPr algn="l">
            <a:defRPr/>
          </a:pPr>
          <a:r>
            <a:rPr lang="en-US" cap="none" sz="1075" b="0" i="0" u="none" baseline="0">
              <a:solidFill>
                <a:srgbClr val="000000"/>
              </a:solidFill>
              <a:latin typeface="Arial"/>
              <a:ea typeface="Arial"/>
              <a:cs typeface="Arial"/>
            </a:rPr>
            <a:t>Al</a:t>
          </a:r>
          <a:r>
            <a:rPr lang="en-US" cap="none" sz="1075" b="0" i="0" u="none" baseline="-25000">
              <a:solidFill>
                <a:srgbClr val="000000"/>
              </a:solidFill>
              <a:latin typeface="Arial"/>
              <a:ea typeface="Arial"/>
              <a:cs typeface="Arial"/>
            </a:rPr>
            <a:t>2</a:t>
          </a:r>
          <a:r>
            <a:rPr lang="en-US" cap="none" sz="1075" b="0" i="0" u="none" baseline="0">
              <a:solidFill>
                <a:srgbClr val="000000"/>
              </a:solidFill>
              <a:latin typeface="Arial"/>
              <a:ea typeface="Arial"/>
              <a:cs typeface="Arial"/>
            </a:rPr>
            <a:t>O</a:t>
          </a:r>
          <a:r>
            <a:rPr lang="en-US" cap="none" sz="1075" b="0" i="0" u="none" baseline="-25000">
              <a:solidFill>
                <a:srgbClr val="000000"/>
              </a:solidFill>
              <a:latin typeface="Arial"/>
              <a:ea typeface="Arial"/>
              <a:cs typeface="Arial"/>
            </a:rPr>
            <a:t>3</a:t>
          </a:r>
        </a:p>
      </cdr:txBody>
    </cdr:sp>
  </cdr:relSizeAnchor>
  <cdr:relSizeAnchor xmlns:cdr="http://schemas.openxmlformats.org/drawingml/2006/chartDrawing">
    <cdr:from>
      <cdr:x>0.5605</cdr:x>
      <cdr:y>0.455</cdr:y>
    </cdr:from>
    <cdr:to>
      <cdr:x>0.657</cdr:x>
      <cdr:y>0.54125</cdr:y>
    </cdr:to>
    <cdr:sp>
      <cdr:nvSpPr>
        <cdr:cNvPr id="2" name="Rectangle 2"/>
        <cdr:cNvSpPr>
          <a:spLocks/>
        </cdr:cNvSpPr>
      </cdr:nvSpPr>
      <cdr:spPr>
        <a:xfrm>
          <a:off x="2143125" y="1143000"/>
          <a:ext cx="371475" cy="219075"/>
        </a:xfrm>
        <a:prstGeom prst="rect">
          <a:avLst/>
        </a:prstGeom>
        <a:noFill/>
        <a:ln w="9525" cmpd="sng">
          <a:noFill/>
        </a:ln>
      </cdr:spPr>
      <cdr:txBody>
        <a:bodyPr vertOverflow="clip" wrap="square" lIns="18288" tIns="22860" rIns="0" bIns="0">
          <a:spAutoFit/>
        </a:bodyPr>
        <a:p>
          <a:pPr algn="l">
            <a:defRPr/>
          </a:pPr>
          <a:r>
            <a:rPr lang="en-US" cap="none" sz="1075" b="0" i="0" u="none" baseline="0">
              <a:solidFill>
                <a:srgbClr val="000000"/>
              </a:solidFill>
              <a:latin typeface="Arial"/>
              <a:ea typeface="Arial"/>
              <a:cs typeface="Arial"/>
            </a:rPr>
            <a:t>MgO</a:t>
          </a:r>
        </a:p>
      </cdr:txBody>
    </cdr:sp>
  </cdr:relSizeAnchor>
  <cdr:relSizeAnchor xmlns:cdr="http://schemas.openxmlformats.org/drawingml/2006/chartDrawing">
    <cdr:from>
      <cdr:x>0.37</cdr:x>
      <cdr:y>0.56775</cdr:y>
    </cdr:from>
    <cdr:to>
      <cdr:x>0.45075</cdr:x>
      <cdr:y>0.65375</cdr:y>
    </cdr:to>
    <cdr:sp>
      <cdr:nvSpPr>
        <cdr:cNvPr id="3" name="Rectangle 3"/>
        <cdr:cNvSpPr>
          <a:spLocks/>
        </cdr:cNvSpPr>
      </cdr:nvSpPr>
      <cdr:spPr>
        <a:xfrm>
          <a:off x="1419225" y="1419225"/>
          <a:ext cx="314325" cy="219075"/>
        </a:xfrm>
        <a:prstGeom prst="rect">
          <a:avLst/>
        </a:prstGeom>
        <a:noFill/>
        <a:ln w="9525" cmpd="sng">
          <a:noFill/>
        </a:ln>
      </cdr:spPr>
      <cdr:txBody>
        <a:bodyPr vertOverflow="clip" wrap="square" lIns="18288" tIns="22860" rIns="0" bIns="0">
          <a:spAutoFit/>
        </a:bodyPr>
        <a:p>
          <a:pPr algn="l">
            <a:defRPr/>
          </a:pPr>
          <a:r>
            <a:rPr lang="en-US" cap="none" sz="1075" b="0" i="0" u="none" baseline="0">
              <a:solidFill>
                <a:srgbClr val="000000"/>
              </a:solidFill>
              <a:latin typeface="Arial"/>
              <a:ea typeface="Arial"/>
              <a:cs typeface="Arial"/>
            </a:rPr>
            <a:t>LiCl</a:t>
          </a:r>
        </a:p>
      </cdr:txBody>
    </cdr:sp>
  </cdr:relSizeAnchor>
  <cdr:relSizeAnchor xmlns:cdr="http://schemas.openxmlformats.org/drawingml/2006/chartDrawing">
    <cdr:from>
      <cdr:x>0.0985</cdr:x>
      <cdr:y>0.32775</cdr:y>
    </cdr:from>
    <cdr:to>
      <cdr:x>0.19525</cdr:x>
      <cdr:y>0.414</cdr:y>
    </cdr:to>
    <cdr:sp>
      <cdr:nvSpPr>
        <cdr:cNvPr id="4" name="Rectangle 4"/>
        <cdr:cNvSpPr>
          <a:spLocks/>
        </cdr:cNvSpPr>
      </cdr:nvSpPr>
      <cdr:spPr>
        <a:xfrm>
          <a:off x="371475" y="819150"/>
          <a:ext cx="371475" cy="219075"/>
        </a:xfrm>
        <a:prstGeom prst="rect">
          <a:avLst/>
        </a:prstGeom>
        <a:noFill/>
        <a:ln w="9525" cmpd="sng">
          <a:noFill/>
        </a:ln>
      </cdr:spPr>
      <cdr:txBody>
        <a:bodyPr vertOverflow="clip" wrap="square" lIns="18288" tIns="22860" rIns="0" bIns="0">
          <a:spAutoFit/>
        </a:bodyPr>
        <a:p>
          <a:pPr algn="l">
            <a:defRPr/>
          </a:pPr>
          <a:r>
            <a:rPr lang="en-US" cap="none" sz="1075" b="0" i="0" u="none" baseline="0">
              <a:solidFill>
                <a:srgbClr val="000000"/>
              </a:solidFill>
              <a:latin typeface="Arial"/>
              <a:ea typeface="Arial"/>
              <a:cs typeface="Arial"/>
            </a:rPr>
            <a:t>CsCl</a:t>
          </a:r>
        </a:p>
      </cdr:txBody>
    </cdr:sp>
  </cdr:relSizeAnchor>
  <cdr:relSizeAnchor xmlns:cdr="http://schemas.openxmlformats.org/drawingml/2006/chartDrawing">
    <cdr:from>
      <cdr:x>0.355</cdr:x>
      <cdr:y>0.347</cdr:y>
    </cdr:from>
    <cdr:to>
      <cdr:x>0.4515</cdr:x>
      <cdr:y>0.43325</cdr:y>
    </cdr:to>
    <cdr:sp>
      <cdr:nvSpPr>
        <cdr:cNvPr id="5" name="Rectangle 5"/>
        <cdr:cNvSpPr>
          <a:spLocks/>
        </cdr:cNvSpPr>
      </cdr:nvSpPr>
      <cdr:spPr>
        <a:xfrm>
          <a:off x="1362075" y="866775"/>
          <a:ext cx="371475" cy="219075"/>
        </a:xfrm>
        <a:prstGeom prst="rect">
          <a:avLst/>
        </a:prstGeom>
        <a:noFill/>
        <a:ln w="9525" cmpd="sng">
          <a:noFill/>
        </a:ln>
      </cdr:spPr>
      <cdr:txBody>
        <a:bodyPr vertOverflow="clip" wrap="square" lIns="18288" tIns="22860" rIns="0" bIns="0">
          <a:spAutoFit/>
        </a:bodyPr>
        <a:p>
          <a:pPr algn="l">
            <a:defRPr/>
          </a:pPr>
          <a:r>
            <a:rPr lang="en-US" cap="none" sz="1075" b="0" i="0" u="none" baseline="0">
              <a:solidFill>
                <a:srgbClr val="000000"/>
              </a:solidFill>
              <a:latin typeface="Arial"/>
              <a:ea typeface="Arial"/>
              <a:cs typeface="Arial"/>
            </a:rPr>
            <a:t>NaCl</a:t>
          </a:r>
        </a:p>
      </cdr:txBody>
    </cdr:sp>
  </cdr:relSizeAnchor>
  <cdr:relSizeAnchor xmlns:cdr="http://schemas.openxmlformats.org/drawingml/2006/chartDrawing">
    <cdr:from>
      <cdr:x>0.449</cdr:x>
      <cdr:y>0.44375</cdr:y>
    </cdr:from>
    <cdr:to>
      <cdr:x>0.54025</cdr:x>
      <cdr:y>0.53</cdr:y>
    </cdr:to>
    <cdr:sp>
      <cdr:nvSpPr>
        <cdr:cNvPr id="6" name="Rectangle 6"/>
        <cdr:cNvSpPr>
          <a:spLocks/>
        </cdr:cNvSpPr>
      </cdr:nvSpPr>
      <cdr:spPr>
        <a:xfrm>
          <a:off x="1714500" y="1114425"/>
          <a:ext cx="352425" cy="219075"/>
        </a:xfrm>
        <a:prstGeom prst="rect">
          <a:avLst/>
        </a:prstGeom>
        <a:noFill/>
        <a:ln w="9525" cmpd="sng">
          <a:noFill/>
        </a:ln>
      </cdr:spPr>
      <cdr:txBody>
        <a:bodyPr vertOverflow="clip" wrap="square" lIns="18288" tIns="22860" rIns="0" bIns="0">
          <a:spAutoFit/>
        </a:bodyPr>
        <a:p>
          <a:pPr algn="l">
            <a:defRPr/>
          </a:pPr>
          <a:r>
            <a:rPr lang="en-US" cap="none" sz="1075" b="0" i="0" u="none" baseline="0">
              <a:solidFill>
                <a:srgbClr val="000000"/>
              </a:solidFill>
              <a:latin typeface="Arial"/>
              <a:ea typeface="Arial"/>
              <a:cs typeface="Arial"/>
            </a:rPr>
            <a:t>BaO</a:t>
          </a:r>
        </a:p>
      </cdr:txBody>
    </cdr:sp>
  </cdr:relSizeAnchor>
  <cdr:relSizeAnchor xmlns:cdr="http://schemas.openxmlformats.org/drawingml/2006/chartDrawing">
    <cdr:from>
      <cdr:x>0.261</cdr:x>
      <cdr:y>0.219</cdr:y>
    </cdr:from>
    <cdr:to>
      <cdr:x>0.33225</cdr:x>
      <cdr:y>0.30525</cdr:y>
    </cdr:to>
    <cdr:sp>
      <cdr:nvSpPr>
        <cdr:cNvPr id="7" name="Rectangle 7"/>
        <cdr:cNvSpPr>
          <a:spLocks/>
        </cdr:cNvSpPr>
      </cdr:nvSpPr>
      <cdr:spPr>
        <a:xfrm>
          <a:off x="1000125" y="542925"/>
          <a:ext cx="276225" cy="219075"/>
        </a:xfrm>
        <a:prstGeom prst="rect">
          <a:avLst/>
        </a:prstGeom>
        <a:noFill/>
        <a:ln w="9525" cmpd="sng">
          <a:noFill/>
        </a:ln>
      </cdr:spPr>
      <cdr:txBody>
        <a:bodyPr vertOverflow="clip" wrap="square" lIns="18288" tIns="22860" rIns="0" bIns="0">
          <a:spAutoFit/>
        </a:bodyPr>
        <a:p>
          <a:pPr algn="l">
            <a:defRPr/>
          </a:pPr>
          <a:r>
            <a:rPr lang="en-US" cap="none" sz="1075" b="0" i="0" u="none" baseline="0">
              <a:solidFill>
                <a:srgbClr val="000000"/>
              </a:solidFill>
              <a:latin typeface="Arial"/>
              <a:ea typeface="Arial"/>
              <a:cs typeface="Arial"/>
            </a:rPr>
            <a:t>CsI</a:t>
          </a:r>
        </a:p>
      </cdr:txBody>
    </cdr:sp>
  </cdr:relSizeAnchor>
  <cdr:relSizeAnchor xmlns:cdr="http://schemas.openxmlformats.org/drawingml/2006/chartDrawing">
    <cdr:from>
      <cdr:x>0.19</cdr:x>
      <cdr:y>0.3895</cdr:y>
    </cdr:from>
    <cdr:to>
      <cdr:x>0.261</cdr:x>
      <cdr:y>0.43175</cdr:y>
    </cdr:to>
    <cdr:sp>
      <cdr:nvSpPr>
        <cdr:cNvPr id="8" name="Line 8"/>
        <cdr:cNvSpPr>
          <a:spLocks/>
        </cdr:cNvSpPr>
      </cdr:nvSpPr>
      <cdr:spPr>
        <a:xfrm>
          <a:off x="723900" y="971550"/>
          <a:ext cx="276225" cy="104775"/>
        </a:xfrm>
        <a:prstGeom prst="line">
          <a:avLst/>
        </a:prstGeom>
        <a:noFill/>
        <a:ln w="9525" cmpd="sng">
          <a:solidFill>
            <a:srgbClr val="000000"/>
          </a:solidFill>
          <a:headEnd type="none"/>
          <a:tailEnd type="stealth"/>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0.4025</cdr:x>
      <cdr:y>0.44375</cdr:y>
    </cdr:from>
    <cdr:to>
      <cdr:x>0.4025</cdr:x>
      <cdr:y>0.57975</cdr:y>
    </cdr:to>
    <cdr:sp>
      <cdr:nvSpPr>
        <cdr:cNvPr id="9" name="Line 9"/>
        <cdr:cNvSpPr>
          <a:spLocks/>
        </cdr:cNvSpPr>
      </cdr:nvSpPr>
      <cdr:spPr>
        <a:xfrm flipH="1" flipV="1">
          <a:off x="1543050" y="1114425"/>
          <a:ext cx="0" cy="342900"/>
        </a:xfrm>
        <a:prstGeom prst="line">
          <a:avLst/>
        </a:prstGeom>
        <a:noFill/>
        <a:ln w="9525" cmpd="sng">
          <a:solidFill>
            <a:srgbClr val="000000"/>
          </a:solidFill>
          <a:headEnd type="none"/>
          <a:tailEnd type="stealth"/>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171450</xdr:colOff>
      <xdr:row>225</xdr:row>
      <xdr:rowOff>66675</xdr:rowOff>
    </xdr:from>
    <xdr:ext cx="4333875" cy="4362450"/>
    <xdr:graphicFrame>
      <xdr:nvGraphicFramePr>
        <xdr:cNvPr id="1" name="Chart 1"/>
        <xdr:cNvGraphicFramePr/>
      </xdr:nvGraphicFramePr>
      <xdr:xfrm>
        <a:off x="171450" y="37976175"/>
        <a:ext cx="4333875" cy="4362450"/>
      </xdr:xfrm>
      <a:graphic>
        <a:graphicData uri="http://schemas.openxmlformats.org/drawingml/2006/chart">
          <c:chart xmlns:c="http://schemas.openxmlformats.org/drawingml/2006/chart" r:id="rId1"/>
        </a:graphicData>
      </a:graphic>
    </xdr:graphicFrame>
    <xdr:clientData/>
  </xdr:oneCellAnchor>
  <xdr:oneCellAnchor>
    <xdr:from>
      <xdr:col>6</xdr:col>
      <xdr:colOff>323850</xdr:colOff>
      <xdr:row>225</xdr:row>
      <xdr:rowOff>66675</xdr:rowOff>
    </xdr:from>
    <xdr:ext cx="4333875" cy="4362450"/>
    <xdr:graphicFrame>
      <xdr:nvGraphicFramePr>
        <xdr:cNvPr id="2" name="Chart 7"/>
        <xdr:cNvGraphicFramePr/>
      </xdr:nvGraphicFramePr>
      <xdr:xfrm>
        <a:off x="4486275" y="37976175"/>
        <a:ext cx="4333875" cy="4362450"/>
      </xdr:xfrm>
      <a:graphic>
        <a:graphicData uri="http://schemas.openxmlformats.org/drawingml/2006/chart">
          <c:chart xmlns:c="http://schemas.openxmlformats.org/drawingml/2006/chart" r:id="rId2"/>
        </a:graphicData>
      </a:graphic>
    </xdr:graphicFrame>
    <xdr:clientData/>
  </xdr:oneCellAnchor>
  <xdr:oneCellAnchor>
    <xdr:from>
      <xdr:col>1</xdr:col>
      <xdr:colOff>57150</xdr:colOff>
      <xdr:row>87</xdr:row>
      <xdr:rowOff>38100</xdr:rowOff>
    </xdr:from>
    <xdr:ext cx="3838575" cy="2514600"/>
    <xdr:graphicFrame>
      <xdr:nvGraphicFramePr>
        <xdr:cNvPr id="3" name="Chart 23"/>
        <xdr:cNvGraphicFramePr/>
      </xdr:nvGraphicFramePr>
      <xdr:xfrm>
        <a:off x="666750" y="14687550"/>
        <a:ext cx="3838575" cy="2514600"/>
      </xdr:xfrm>
      <a:graphic>
        <a:graphicData uri="http://schemas.openxmlformats.org/drawingml/2006/chart">
          <c:chart xmlns:c="http://schemas.openxmlformats.org/drawingml/2006/chart" r:id="rId3"/>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warwick.ac.uk/fac/sci/Chemistry/thermochemistry/"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ill.fr/dif/3D-crystals/index.html" TargetMode="External" /><Relationship Id="rId2" Type="http://schemas.openxmlformats.org/officeDocument/2006/relationships/hyperlink" Target="http://www.chem.ox.ac.uk/icl/heyes/structure_of_solids/Strucsol.html" TargetMode="External" /><Relationship Id="rId3" Type="http://schemas.openxmlformats.org/officeDocument/2006/relationships/hyperlink" Target="http://cst-www.nrl.navy.mil/lattice/" TargetMode="External" /><Relationship Id="rId4" Type="http://schemas.openxmlformats.org/officeDocument/2006/relationships/hyperlink" Target="mailto:cking@troy.edu" TargetMode="External" /><Relationship Id="rId5" Type="http://schemas.openxmlformats.org/officeDocument/2006/relationships/hyperlink" Target="http://spectrum.troyst.edu/~cking/" TargetMode="External" /><Relationship Id="rId6" Type="http://schemas.openxmlformats.org/officeDocument/2006/relationships/hyperlink" Target="http://www.geo.arizona.edu/AMS/amcsd.php" TargetMode="External" /><Relationship Id="rId7" Type="http://schemas.openxmlformats.org/officeDocument/2006/relationships/hyperlink" Target="http://spectrum.troy.edu/~cking/" TargetMode="External" /><Relationship Id="rId8" Type="http://schemas.openxmlformats.org/officeDocument/2006/relationships/hyperlink" Target="http://database.iem.ac.ru/mincryst/" TargetMode="External" /><Relationship Id="rId9" Type="http://schemas.openxmlformats.org/officeDocument/2006/relationships/comments" Target="../comments4.xml" /><Relationship Id="rId10" Type="http://schemas.openxmlformats.org/officeDocument/2006/relationships/vmlDrawing" Target="../drawings/vmlDrawing4.vml" /><Relationship Id="rId11" Type="http://schemas.openxmlformats.org/officeDocument/2006/relationships/drawing" Target="../drawings/drawing4.xml" /><Relationship Id="rId1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X2183"/>
  <sheetViews>
    <sheetView tabSelected="1" zoomScalePageLayoutView="0" workbookViewId="0" topLeftCell="A1">
      <selection activeCell="S23" sqref="S23"/>
    </sheetView>
  </sheetViews>
  <sheetFormatPr defaultColWidth="9.140625" defaultRowHeight="12.75"/>
  <cols>
    <col min="1" max="1" width="6.421875" style="40" customWidth="1"/>
    <col min="2" max="2" width="6.7109375" style="48" customWidth="1"/>
    <col min="3" max="3" width="5.8515625" style="48" customWidth="1"/>
    <col min="4" max="4" width="6.140625" style="48" customWidth="1"/>
    <col min="5" max="5" width="5.28125" style="48" customWidth="1"/>
    <col min="6" max="6" width="4.7109375" style="48" customWidth="1"/>
    <col min="7" max="7" width="6.7109375" style="48" customWidth="1"/>
    <col min="8" max="8" width="4.57421875" style="48" customWidth="1"/>
    <col min="9" max="9" width="5.140625" style="48" customWidth="1"/>
    <col min="10" max="10" width="8.00390625" style="48" customWidth="1"/>
    <col min="11" max="11" width="7.57421875" style="48" customWidth="1"/>
    <col min="12" max="12" width="8.00390625" style="48" customWidth="1"/>
    <col min="13" max="13" width="7.8515625" style="48" customWidth="1"/>
    <col min="14" max="14" width="8.00390625" style="48" customWidth="1"/>
    <col min="15" max="16" width="7.8515625" style="48" customWidth="1"/>
    <col min="17" max="17" width="8.00390625" style="40" customWidth="1"/>
    <col min="18" max="18" width="21.140625" style="40" customWidth="1"/>
    <col min="19" max="19" width="15.57421875" style="48" bestFit="1" customWidth="1"/>
    <col min="20" max="20" width="11.57421875" style="48" customWidth="1"/>
    <col min="21" max="21" width="15.57421875" style="48" customWidth="1"/>
    <col min="22" max="22" width="9.00390625" style="48" customWidth="1"/>
    <col min="23" max="23" width="12.7109375" style="48" customWidth="1"/>
    <col min="24" max="24" width="8.28125" style="48" customWidth="1"/>
    <col min="25" max="25" width="8.421875" style="48" customWidth="1"/>
    <col min="26" max="26" width="9.7109375" style="48" bestFit="1" customWidth="1"/>
    <col min="27" max="27" width="10.421875" style="48" customWidth="1"/>
    <col min="28" max="28" width="17.00390625" style="48" customWidth="1"/>
    <col min="29" max="29" width="24.7109375" style="48" customWidth="1"/>
    <col min="30" max="30" width="12.57421875" style="48" customWidth="1"/>
    <col min="31" max="31" width="10.57421875" style="48" customWidth="1"/>
    <col min="32" max="32" width="11.421875" style="48" customWidth="1"/>
    <col min="33" max="33" width="9.7109375" style="48" bestFit="1" customWidth="1"/>
    <col min="34" max="34" width="9.421875" style="48" bestFit="1" customWidth="1"/>
    <col min="35" max="40" width="9.140625" style="48" customWidth="1"/>
    <col min="41" max="41" width="9.7109375" style="48" customWidth="1"/>
    <col min="42" max="42" width="11.421875" style="48" customWidth="1"/>
    <col min="43" max="43" width="3.00390625" style="48" customWidth="1"/>
    <col min="44" max="44" width="13.421875" style="48" customWidth="1"/>
    <col min="45" max="45" width="11.00390625" style="48" customWidth="1"/>
    <col min="46" max="46" width="8.28125" style="48" customWidth="1"/>
    <col min="47" max="47" width="7.28125" style="48" customWidth="1"/>
    <col min="48" max="48" width="9.421875" style="48" bestFit="1" customWidth="1"/>
    <col min="49" max="49" width="9.28125" style="48" bestFit="1" customWidth="1"/>
    <col min="50" max="16384" width="9.140625" style="48" customWidth="1"/>
  </cols>
  <sheetData>
    <row r="1" spans="1:19" ht="14.25" customHeight="1" thickTop="1">
      <c r="A1" s="40" t="s">
        <v>967</v>
      </c>
      <c r="B1" s="40"/>
      <c r="C1" s="41"/>
      <c r="D1" s="42"/>
      <c r="E1" s="42"/>
      <c r="F1" s="43"/>
      <c r="G1" s="43"/>
      <c r="H1" s="45"/>
      <c r="I1" s="46"/>
      <c r="J1" s="46"/>
      <c r="K1" s="43"/>
      <c r="L1" s="42"/>
      <c r="M1" s="42"/>
      <c r="N1" s="42"/>
      <c r="O1" s="42"/>
      <c r="P1" s="42"/>
      <c r="Q1" s="47"/>
      <c r="S1" s="40"/>
    </row>
    <row r="2" spans="2:46" ht="14.25" customHeight="1">
      <c r="B2" s="40"/>
      <c r="C2" s="49"/>
      <c r="D2" s="50"/>
      <c r="E2" s="51"/>
      <c r="F2" s="52"/>
      <c r="G2" s="53"/>
      <c r="H2" s="50"/>
      <c r="I2" s="54" t="s">
        <v>1016</v>
      </c>
      <c r="J2" s="55"/>
      <c r="K2" s="55"/>
      <c r="L2" s="50"/>
      <c r="M2" s="50"/>
      <c r="N2" s="50"/>
      <c r="O2" s="50"/>
      <c r="P2" s="50"/>
      <c r="Q2" s="56"/>
      <c r="S2" s="40"/>
      <c r="U2" s="57" t="s">
        <v>967</v>
      </c>
      <c r="X2" s="58"/>
      <c r="AC2" s="58"/>
      <c r="AE2" s="59" t="s">
        <v>964</v>
      </c>
      <c r="AR2" s="60" t="s">
        <v>922</v>
      </c>
      <c r="AT2" s="40"/>
    </row>
    <row r="3" spans="2:43" ht="14.25" customHeight="1">
      <c r="B3" s="40"/>
      <c r="C3" s="49"/>
      <c r="D3" s="50"/>
      <c r="E3" s="61"/>
      <c r="F3" s="50"/>
      <c r="G3" s="50"/>
      <c r="H3" s="50"/>
      <c r="I3" s="62"/>
      <c r="J3" s="50"/>
      <c r="K3" s="50"/>
      <c r="L3" s="50"/>
      <c r="M3" s="50"/>
      <c r="N3" s="50"/>
      <c r="O3" s="50"/>
      <c r="P3" s="50"/>
      <c r="Q3" s="56"/>
      <c r="S3" s="40"/>
      <c r="AC3" s="58"/>
      <c r="AE3" s="63" t="s">
        <v>652</v>
      </c>
      <c r="AF3" s="64" t="s">
        <v>944</v>
      </c>
      <c r="AG3" s="48" t="s">
        <v>726</v>
      </c>
      <c r="AQ3" s="48" t="s">
        <v>514</v>
      </c>
    </row>
    <row r="4" spans="2:33" ht="14.25" customHeight="1">
      <c r="B4" s="40"/>
      <c r="C4" s="49"/>
      <c r="D4" s="50"/>
      <c r="E4" s="50"/>
      <c r="F4" s="65"/>
      <c r="G4" s="65"/>
      <c r="H4" s="65"/>
      <c r="I4" s="50"/>
      <c r="J4" s="50"/>
      <c r="K4" s="50"/>
      <c r="L4" s="50"/>
      <c r="M4" s="50"/>
      <c r="N4" s="50"/>
      <c r="O4" s="50"/>
      <c r="P4" s="50"/>
      <c r="Q4" s="56"/>
      <c r="S4" s="40"/>
      <c r="T4" s="58" t="s">
        <v>1000</v>
      </c>
      <c r="AC4" s="58"/>
      <c r="AD4" s="58" t="s">
        <v>970</v>
      </c>
      <c r="AE4" s="66" t="s">
        <v>616</v>
      </c>
      <c r="AF4" s="67">
        <v>1</v>
      </c>
      <c r="AG4" s="68" t="s">
        <v>724</v>
      </c>
    </row>
    <row r="5" spans="2:33" ht="14.25" customHeight="1">
      <c r="B5" s="40"/>
      <c r="C5" s="49"/>
      <c r="D5" s="50"/>
      <c r="E5" s="50"/>
      <c r="F5" s="50"/>
      <c r="G5" s="50"/>
      <c r="H5" s="50"/>
      <c r="I5" s="50"/>
      <c r="J5" s="50"/>
      <c r="K5" s="50"/>
      <c r="L5" s="50"/>
      <c r="M5" s="50"/>
      <c r="N5" s="50"/>
      <c r="O5" s="50"/>
      <c r="P5" s="50"/>
      <c r="Q5" s="56"/>
      <c r="S5" s="40"/>
      <c r="AC5" s="58"/>
      <c r="AD5" s="58" t="s">
        <v>971</v>
      </c>
      <c r="AE5" s="66" t="s">
        <v>578</v>
      </c>
      <c r="AF5" s="67">
        <v>2</v>
      </c>
      <c r="AG5" s="68" t="s">
        <v>725</v>
      </c>
    </row>
    <row r="6" spans="2:33" ht="14.25" customHeight="1">
      <c r="B6" s="40"/>
      <c r="C6" s="49"/>
      <c r="D6" s="50"/>
      <c r="E6" s="50"/>
      <c r="F6" s="50"/>
      <c r="G6" s="50"/>
      <c r="H6" s="50"/>
      <c r="I6" s="50"/>
      <c r="J6" s="50"/>
      <c r="K6" s="50"/>
      <c r="L6" s="50"/>
      <c r="M6" s="50"/>
      <c r="N6" s="50"/>
      <c r="O6" s="50"/>
      <c r="P6" s="50"/>
      <c r="Q6" s="56"/>
      <c r="S6" s="40"/>
      <c r="V6" s="69" t="s">
        <v>515</v>
      </c>
      <c r="W6" s="70"/>
      <c r="X6" s="70"/>
      <c r="Y6" s="70"/>
      <c r="AC6" s="58"/>
      <c r="AG6" s="71" t="s">
        <v>969</v>
      </c>
    </row>
    <row r="7" spans="2:50" ht="15.75" customHeight="1">
      <c r="B7" s="40"/>
      <c r="C7" s="49"/>
      <c r="D7" s="50"/>
      <c r="E7" s="50"/>
      <c r="F7" s="50"/>
      <c r="G7" s="50"/>
      <c r="H7" s="50"/>
      <c r="I7" s="50"/>
      <c r="J7" s="50"/>
      <c r="K7" s="50"/>
      <c r="L7" s="50"/>
      <c r="M7" s="50"/>
      <c r="N7" s="50"/>
      <c r="O7" s="50"/>
      <c r="P7" s="50"/>
      <c r="Q7" s="56"/>
      <c r="S7" s="72"/>
      <c r="T7" s="73" t="s">
        <v>857</v>
      </c>
      <c r="U7" s="74" t="s">
        <v>133</v>
      </c>
      <c r="V7" s="75">
        <f>VLOOKUP(U7,S23:Z39,2,FALSE)</f>
        <v>2.408</v>
      </c>
      <c r="AC7" s="5" t="s">
        <v>127</v>
      </c>
      <c r="AD7" s="76" t="s">
        <v>516</v>
      </c>
      <c r="AE7" s="77">
        <f>X9*AG7</f>
        <v>177.8</v>
      </c>
      <c r="AF7" s="78"/>
      <c r="AG7" s="79">
        <v>177.8</v>
      </c>
      <c r="AH7" s="72"/>
      <c r="AI7" s="72"/>
      <c r="AJ7" s="72"/>
      <c r="AK7" s="80"/>
      <c r="AQ7" s="325" t="s">
        <v>517</v>
      </c>
      <c r="AR7" s="325"/>
      <c r="AS7" s="325"/>
      <c r="AT7" s="325"/>
      <c r="AU7" s="325"/>
      <c r="AV7" s="325"/>
      <c r="AW7" s="325"/>
      <c r="AX7" s="325"/>
    </row>
    <row r="8" spans="2:50" ht="15.75">
      <c r="B8" s="40"/>
      <c r="C8" s="49"/>
      <c r="D8" s="50"/>
      <c r="E8" s="50"/>
      <c r="F8" s="50"/>
      <c r="G8" s="50"/>
      <c r="H8" s="50"/>
      <c r="I8" s="50"/>
      <c r="J8" s="50"/>
      <c r="K8" s="50"/>
      <c r="L8" s="50"/>
      <c r="M8" s="50"/>
      <c r="N8" s="50"/>
      <c r="O8" s="50"/>
      <c r="P8" s="50"/>
      <c r="Q8" s="56"/>
      <c r="S8" s="40"/>
      <c r="U8" s="63" t="s">
        <v>956</v>
      </c>
      <c r="V8" s="63" t="s">
        <v>957</v>
      </c>
      <c r="W8" s="63" t="s">
        <v>958</v>
      </c>
      <c r="X8" s="64" t="s">
        <v>959</v>
      </c>
      <c r="Y8" s="64"/>
      <c r="AC8" s="5" t="s">
        <v>128</v>
      </c>
      <c r="AD8" s="81" t="s">
        <v>518</v>
      </c>
      <c r="AE8" s="82">
        <f>X9*(SUM(AG8:INDIRECT(ADDRESS(ROW(AG8),COLUMN(AG8)+V9-1,1)))+V9*5/2*RT)</f>
        <v>1747.5948557825</v>
      </c>
      <c r="AF8" s="83" t="s">
        <v>519</v>
      </c>
      <c r="AG8" s="84">
        <v>589.8</v>
      </c>
      <c r="AH8" s="85">
        <v>1145.4</v>
      </c>
      <c r="AI8" s="85"/>
      <c r="AJ8" s="86"/>
      <c r="AK8" s="86"/>
      <c r="AL8" s="86"/>
      <c r="AM8" s="86"/>
      <c r="AN8" s="87"/>
      <c r="AQ8" s="325"/>
      <c r="AR8" s="325"/>
      <c r="AS8" s="325"/>
      <c r="AT8" s="325"/>
      <c r="AU8" s="325"/>
      <c r="AV8" s="325"/>
      <c r="AW8" s="325"/>
      <c r="AX8" s="325"/>
    </row>
    <row r="9" spans="2:47" ht="15.75">
      <c r="B9" s="40"/>
      <c r="C9" s="88"/>
      <c r="D9" s="53"/>
      <c r="E9" s="53"/>
      <c r="F9" s="53"/>
      <c r="G9" s="53"/>
      <c r="H9" s="53"/>
      <c r="I9" s="53"/>
      <c r="J9" s="53"/>
      <c r="K9" s="53"/>
      <c r="L9" s="53"/>
      <c r="M9" s="53"/>
      <c r="N9" s="53"/>
      <c r="O9" s="53"/>
      <c r="P9" s="53"/>
      <c r="Q9" s="89"/>
      <c r="S9" s="40"/>
      <c r="T9" s="58" t="s">
        <v>954</v>
      </c>
      <c r="U9" s="90">
        <v>100</v>
      </c>
      <c r="V9" s="91">
        <v>2</v>
      </c>
      <c r="W9" s="92">
        <f>VLOOKUP(U7,S23:Z39,3,FALSE)</f>
        <v>6</v>
      </c>
      <c r="X9" s="92">
        <f>VLOOKUP(U7,S23:Z39,5,FALSE)</f>
        <v>1</v>
      </c>
      <c r="AC9" s="5" t="s">
        <v>129</v>
      </c>
      <c r="AD9" s="76" t="s">
        <v>516</v>
      </c>
      <c r="AE9" s="93">
        <f>X10*AG9</f>
        <v>242.604</v>
      </c>
      <c r="AF9" s="94"/>
      <c r="AG9" s="95">
        <v>121.302</v>
      </c>
      <c r="AH9" s="94"/>
      <c r="AI9" s="94"/>
      <c r="AJ9" s="94"/>
      <c r="AS9" s="96" t="s">
        <v>520</v>
      </c>
      <c r="AT9" s="97">
        <f>(-V9*V9/(2*(U9+74)))*U13*(1-1/78.5)</f>
        <v>-1576.6302088502086</v>
      </c>
      <c r="AU9" s="40" t="s">
        <v>950</v>
      </c>
    </row>
    <row r="10" spans="2:47" ht="15.75">
      <c r="B10" s="40"/>
      <c r="C10" s="98"/>
      <c r="D10" s="99"/>
      <c r="E10" s="99"/>
      <c r="F10" s="99"/>
      <c r="G10" s="99"/>
      <c r="H10" s="99"/>
      <c r="I10" s="99"/>
      <c r="J10" s="99"/>
      <c r="K10" s="99"/>
      <c r="L10" s="99"/>
      <c r="M10" s="99"/>
      <c r="N10" s="99"/>
      <c r="O10" s="99"/>
      <c r="P10" s="99"/>
      <c r="Q10" s="100"/>
      <c r="T10" s="58" t="s">
        <v>955</v>
      </c>
      <c r="U10" s="90">
        <v>181</v>
      </c>
      <c r="V10" s="101">
        <f>-(V9*X9)/X10</f>
        <v>-1</v>
      </c>
      <c r="W10" s="92">
        <f>VLOOKUP(U7,S23:Z39,4,FALSE)</f>
        <v>3</v>
      </c>
      <c r="X10" s="92">
        <f>VLOOKUP(U7,S23:Z39,6,FALSE)</f>
        <v>2</v>
      </c>
      <c r="AC10" s="5" t="s">
        <v>130</v>
      </c>
      <c r="AD10" s="102" t="s">
        <v>521</v>
      </c>
      <c r="AE10" s="103">
        <f>X10*(-SUM(AG10:INDIRECT(ADDRESS(ROW(AG10),COLUMN(AG10)-V10-1,1)))-(-V10)*5/2*RT)</f>
        <v>-709.5948557825001</v>
      </c>
      <c r="AF10" s="104" t="s">
        <v>522</v>
      </c>
      <c r="AG10" s="95">
        <v>348.6</v>
      </c>
      <c r="AH10" s="85"/>
      <c r="AI10" s="85"/>
      <c r="AS10" s="96" t="s">
        <v>523</v>
      </c>
      <c r="AT10" s="97">
        <f>-(V10*V10/(2*(U10+6)))*U13*(1-1/78.5)</f>
        <v>-366.7562250533908</v>
      </c>
      <c r="AU10" s="40" t="s">
        <v>950</v>
      </c>
    </row>
    <row r="11" spans="2:47" ht="15.75">
      <c r="B11" s="40"/>
      <c r="I11" s="40"/>
      <c r="J11" s="105" t="s">
        <v>1009</v>
      </c>
      <c r="K11" s="40"/>
      <c r="L11" s="40"/>
      <c r="O11" s="58" t="s">
        <v>770</v>
      </c>
      <c r="P11" s="326" t="str">
        <f>MID(AC12,FIND(CHAR(174),AC12,10)+1,10)</f>
        <v> CaCl2(s)</v>
      </c>
      <c r="Q11" s="326"/>
      <c r="T11" s="106" t="s">
        <v>524</v>
      </c>
      <c r="U11" s="107">
        <f>U9+U10</f>
        <v>281</v>
      </c>
      <c r="V11" s="107" t="s">
        <v>951</v>
      </c>
      <c r="W11" s="58"/>
      <c r="AC11" s="108" t="s">
        <v>131</v>
      </c>
      <c r="AD11" s="109" t="s">
        <v>525</v>
      </c>
      <c r="AE11" s="110">
        <f>lattice_energy</f>
        <v>-2088.852683793539</v>
      </c>
      <c r="AF11" s="111"/>
      <c r="AG11" s="112"/>
      <c r="AH11" s="112"/>
      <c r="AI11" s="113"/>
      <c r="AJ11" s="40"/>
      <c r="AP11" s="148" t="s">
        <v>803</v>
      </c>
      <c r="AQ11" s="289" t="s">
        <v>806</v>
      </c>
      <c r="AR11" s="148" t="s">
        <v>805</v>
      </c>
      <c r="AS11" s="102" t="s">
        <v>526</v>
      </c>
      <c r="AT11" s="114">
        <f>X9*AT10+X10*AT9-5/2*RT*(X9+X10)</f>
        <v>-3538.608926427558</v>
      </c>
      <c r="AU11" s="40" t="s">
        <v>950</v>
      </c>
    </row>
    <row r="12" spans="3:47" ht="15.75">
      <c r="C12" s="58" t="s">
        <v>1018</v>
      </c>
      <c r="D12" s="107">
        <f>IF(INDEX($H$39:$H$140,$K$16,1)="","",INDEX($H$39:$H$140,$K$16,1))</f>
        <v>17</v>
      </c>
      <c r="E12" s="115" t="s">
        <v>578</v>
      </c>
      <c r="F12" s="40"/>
      <c r="G12" s="116"/>
      <c r="H12" s="117" t="s">
        <v>1002</v>
      </c>
      <c r="I12" s="118"/>
      <c r="J12" s="119"/>
      <c r="K12" s="116"/>
      <c r="L12" s="116"/>
      <c r="M12" s="116" t="s">
        <v>1003</v>
      </c>
      <c r="N12" s="116"/>
      <c r="O12" s="116"/>
      <c r="P12" s="116"/>
      <c r="Q12" s="116"/>
      <c r="T12" s="96" t="s">
        <v>907</v>
      </c>
      <c r="U12" s="107">
        <v>34.5</v>
      </c>
      <c r="V12" s="107" t="str">
        <f>V11</f>
        <v>pm</v>
      </c>
      <c r="AC12" s="120" t="s">
        <v>132</v>
      </c>
      <c r="AD12" s="121" t="s">
        <v>527</v>
      </c>
      <c r="AE12" s="122">
        <f>SUM(AE7:AE11)</f>
        <v>-630.4486837935392</v>
      </c>
      <c r="AF12" s="123" t="s">
        <v>950</v>
      </c>
      <c r="AG12" s="124"/>
      <c r="AP12" s="148" t="s">
        <v>804</v>
      </c>
      <c r="AQ12" s="289" t="s">
        <v>806</v>
      </c>
      <c r="AR12" s="148" t="s">
        <v>805</v>
      </c>
      <c r="AS12" s="125" t="s">
        <v>528</v>
      </c>
      <c r="AT12" s="126" t="str">
        <f>IF(V9*V10=-1,AT11-1.05*lattice_energy,"---")</f>
        <v>---</v>
      </c>
      <c r="AU12" s="127" t="str">
        <f>IF(V9*V10=-1,"kJ/mol","(Very uncertain if ion charges not +/- 1)")</f>
        <v>(Very uncertain if ion charges not +/- 1)</v>
      </c>
    </row>
    <row r="13" spans="4:47" ht="18">
      <c r="D13" s="128" t="s">
        <v>732</v>
      </c>
      <c r="E13" s="117" t="s">
        <v>1010</v>
      </c>
      <c r="F13" s="129" t="s">
        <v>529</v>
      </c>
      <c r="G13" s="130" t="s">
        <v>987</v>
      </c>
      <c r="H13" s="130" t="s">
        <v>986</v>
      </c>
      <c r="I13" s="130" t="s">
        <v>985</v>
      </c>
      <c r="J13" s="131" t="s">
        <v>985</v>
      </c>
      <c r="K13" s="130" t="s">
        <v>986</v>
      </c>
      <c r="L13" s="130" t="s">
        <v>987</v>
      </c>
      <c r="M13" s="130" t="s">
        <v>1004</v>
      </c>
      <c r="N13" s="130" t="s">
        <v>1005</v>
      </c>
      <c r="O13" s="130" t="s">
        <v>1006</v>
      </c>
      <c r="P13" s="130" t="s">
        <v>1007</v>
      </c>
      <c r="Q13" s="132" t="s">
        <v>1008</v>
      </c>
      <c r="T13" s="133" t="s">
        <v>530</v>
      </c>
      <c r="U13" s="134">
        <f>6.022137E+23*2.3071E-28/0.000000000001/1000</f>
        <v>138936.722727</v>
      </c>
      <c r="V13" s="48" t="s">
        <v>745</v>
      </c>
      <c r="AC13"/>
      <c r="AD13"/>
      <c r="AE13"/>
      <c r="AF13"/>
      <c r="AG13"/>
      <c r="AH13"/>
      <c r="AI13"/>
      <c r="AS13" s="58" t="s">
        <v>813</v>
      </c>
      <c r="AT13" s="97">
        <f>U10/U9</f>
        <v>1.81</v>
      </c>
      <c r="AU13" s="64"/>
    </row>
    <row r="14" spans="4:47" ht="13.5">
      <c r="D14" s="135" t="str">
        <f>IF(INDEX($A$39:$A$140,$K$16,1)="","",INDEX($A$39:$A$140,$K$16,1))</f>
        <v>g</v>
      </c>
      <c r="E14" s="135">
        <f>IF(INDEX($D$39:$D$140,$K$16,1)="","",INDEX($D$39:$D$140,$K$16,1))</f>
        <v>2</v>
      </c>
      <c r="F14" s="136">
        <f>IF(INDEX($C$39:$C$140,$K$16,1)="","",INDEX($C$39:$C$140,$K$16,1))</f>
        <v>121.302</v>
      </c>
      <c r="G14" s="136">
        <f>IF(INDEX($E$39:$E$140,$K$16,1)="","",INDEX($E$39:$E$140,$K$16,1))</f>
      </c>
      <c r="H14" s="136">
        <f>IF(INDEX($F$39:$F$140,$K$16,1)="","",INDEX($F$39:$F$140,$K$16,1))</f>
      </c>
      <c r="I14" s="136">
        <f>IF(INDEX($G$39:$G$140,$K$16,1)="","",INDEX($G$39:$G$140,$K$16,1))</f>
        <v>348.6</v>
      </c>
      <c r="J14" s="137">
        <f>IF(VLOOKUP($E$12,$I$39:$Q$140,2,FALSE)="","",VLOOKUP($E$12,$I$39:$Q$140,2,FALSE)*1000)</f>
        <v>1251.1000000000001</v>
      </c>
      <c r="K14" s="138">
        <f>IF(VLOOKUP($E$12,$I$39:$Q$140,3,FALSE)="","",VLOOKUP($E$12,$I$39:$Q$140,3,FALSE)*1000)</f>
        <v>2297</v>
      </c>
      <c r="L14" s="138">
        <f>IF(VLOOKUP($E$12,$I$39:$Q$140,4,FALSE)="","",VLOOKUP($E$12,$I$39:$Q$140,4,FALSE)*1000)</f>
        <v>3822</v>
      </c>
      <c r="M14" s="138">
        <f>IF(VLOOKUP($E$12,$I$39:$Q$140,5,FALSE)="","",VLOOKUP($E$12,$I$39:$Q$140,5,FALSE)*1000)</f>
        <v>5158</v>
      </c>
      <c r="N14" s="138">
        <f>IF(VLOOKUP($E$12,$I$39:$Q$140,6,FALSE)="","",VLOOKUP($E$12,$I$39:$Q$140,6,FALSE)*1000)</f>
        <v>6540</v>
      </c>
      <c r="O14" s="138">
        <f>IF(VLOOKUP($E$12,$I$39:$Q$140,7,FALSE)="","",VLOOKUP($E$12,$I$39:$Q$140,7,FALSE)*1000)</f>
        <v>9362</v>
      </c>
      <c r="P14" s="138">
        <f>IF(VLOOKUP($E$12,$I$39:$Q$140,8,FALSE)="","",VLOOKUP($E$12,$I$39:$Q$140,8,FALSE)*1000)</f>
        <v>11018.2</v>
      </c>
      <c r="Q14" s="139">
        <f>IF(VLOOKUP($E$12,$I$39:$Q$140,9,FALSE)="","",VLOOKUP($E$12,$I$39:$Q$140,9,FALSE)*1000)</f>
        <v>33605</v>
      </c>
      <c r="S14" s="140"/>
      <c r="T14" s="141" t="s">
        <v>531</v>
      </c>
      <c r="U14" s="142">
        <f>V7*V9*V10/U11*U13*(1-U12/U11)/1000*1000</f>
        <v>-2088.852683793539</v>
      </c>
      <c r="V14" s="140" t="s">
        <v>950</v>
      </c>
      <c r="AE14"/>
      <c r="AS14" s="58" t="s">
        <v>769</v>
      </c>
      <c r="AT14" s="143">
        <f>AT10-AT9</f>
        <v>1209.8739837968178</v>
      </c>
      <c r="AU14" s="40" t="s">
        <v>950</v>
      </c>
    </row>
    <row r="15" spans="4:31" ht="12.75">
      <c r="D15" s="144"/>
      <c r="O15" s="145" t="s">
        <v>768</v>
      </c>
      <c r="Q15" s="48"/>
      <c r="T15" s="58" t="s">
        <v>960</v>
      </c>
      <c r="U15" s="146">
        <f>MIN(U9:U10)/MAX(U9:U10)</f>
        <v>0.5524861878453039</v>
      </c>
      <c r="AE15"/>
    </row>
    <row r="16" spans="4:31" ht="12.75">
      <c r="D16" s="147"/>
      <c r="E16" s="147"/>
      <c r="J16" s="48" t="s">
        <v>1017</v>
      </c>
      <c r="K16" s="64">
        <f>MATCH($E$12,$I$39:$I$140,0)</f>
        <v>20</v>
      </c>
      <c r="N16" s="118" t="s">
        <v>988</v>
      </c>
      <c r="O16" s="117" t="s">
        <v>958</v>
      </c>
      <c r="P16" s="117" t="s">
        <v>989</v>
      </c>
      <c r="Q16" s="83" t="s">
        <v>814</v>
      </c>
      <c r="T16" s="148" t="str">
        <f>"minimum ratio for "&amp;T(U7)</f>
        <v>minimum ratio for TiO2 (rutile)</v>
      </c>
      <c r="U16" s="75">
        <f>VLOOKUP(U7,S23:Y39,7,FALSE)</f>
        <v>0.414</v>
      </c>
      <c r="V16" s="107" t="str">
        <f>IF(U16=0,"","below which atoms of same charge touch")</f>
        <v>below which atoms of same charge touch</v>
      </c>
      <c r="AE16"/>
    </row>
    <row r="17" spans="13:31" ht="12.75">
      <c r="M17" s="149" t="str">
        <f ca="1">IF(OFFSET($J$144,($D$12-1)*20+ROW()-17,COLUMN()-13)="","",OFFSET($J$144,($D$12-1)*20+ROW()-17,COLUMN()-13))</f>
        <v>Cl</v>
      </c>
      <c r="N17" s="150">
        <f aca="true" ca="1" t="shared" si="0" ref="N17:Q35">OFFSET($J$144,($D$12-1)*20+ROW()-16,COLUMN()-14)</f>
        <v>-1</v>
      </c>
      <c r="O17" s="151" t="str">
        <f ca="1" t="shared" si="0"/>
        <v>4 (est.)</v>
      </c>
      <c r="P17" s="152">
        <f ca="1" t="shared" si="0"/>
        <v>0</v>
      </c>
      <c r="Q17" s="153">
        <f ca="1" t="shared" si="0"/>
        <v>181</v>
      </c>
      <c r="R17" s="208"/>
      <c r="T17" s="148" t="str">
        <f>"maximum ratio for "&amp;T(U7)</f>
        <v>maximum ratio for TiO2 (rutile)</v>
      </c>
      <c r="U17" s="75">
        <f>VLOOKUP(U7,S23:Z39,8,FALSE)</f>
        <v>0.73</v>
      </c>
      <c r="V17" s="107" t="str">
        <f>IF(OR(U17="-",U17=0),"","above which a higher C.N. structure exists")</f>
        <v>above which a higher C.N. structure exists</v>
      </c>
      <c r="AE17"/>
    </row>
    <row r="18" spans="6:31" ht="12.75">
      <c r="F18" s="154"/>
      <c r="M18" s="40"/>
      <c r="N18" s="150">
        <f ca="1" t="shared" si="0"/>
        <v>0</v>
      </c>
      <c r="O18" s="151">
        <f ca="1" t="shared" si="0"/>
        <v>6</v>
      </c>
      <c r="P18" s="152">
        <f ca="1" t="shared" si="0"/>
        <v>0</v>
      </c>
      <c r="Q18" s="153">
        <f ca="1" t="shared" si="0"/>
        <v>181</v>
      </c>
      <c r="R18" s="207"/>
      <c r="W18" s="40"/>
      <c r="AE18"/>
    </row>
    <row r="19" spans="13:31" ht="15.75" customHeight="1">
      <c r="M19" s="40"/>
      <c r="N19" s="150">
        <f ca="1" t="shared" si="0"/>
        <v>0</v>
      </c>
      <c r="O19" s="151" t="str">
        <f ca="1" t="shared" si="0"/>
        <v>8 (est.)</v>
      </c>
      <c r="P19" s="152">
        <f ca="1" t="shared" si="0"/>
        <v>0</v>
      </c>
      <c r="Q19" s="153">
        <f ca="1" t="shared" si="0"/>
        <v>182</v>
      </c>
      <c r="T19" s="155"/>
      <c r="AA19" s="107"/>
      <c r="AE19"/>
    </row>
    <row r="20" spans="13:22" ht="12.75">
      <c r="M20" s="40"/>
      <c r="N20" s="150">
        <f ca="1" t="shared" si="0"/>
        <v>5</v>
      </c>
      <c r="O20" s="151" t="str">
        <f ca="1" t="shared" si="0"/>
        <v>3 py</v>
      </c>
      <c r="P20" s="152">
        <f ca="1" t="shared" si="0"/>
        <v>0</v>
      </c>
      <c r="Q20" s="153">
        <f ca="1" t="shared" si="0"/>
        <v>12</v>
      </c>
      <c r="V20" s="145" t="s">
        <v>1011</v>
      </c>
    </row>
    <row r="21" spans="13:26" ht="12.75">
      <c r="M21" s="40"/>
      <c r="N21" s="150">
        <f ca="1" t="shared" si="0"/>
        <v>7</v>
      </c>
      <c r="O21" s="151">
        <f ca="1" t="shared" si="0"/>
        <v>4</v>
      </c>
      <c r="P21" s="152">
        <f ca="1" t="shared" si="0"/>
        <v>0</v>
      </c>
      <c r="Q21" s="153">
        <f ca="1" t="shared" si="0"/>
        <v>8</v>
      </c>
      <c r="U21" s="327" t="s">
        <v>1013</v>
      </c>
      <c r="V21" s="327"/>
      <c r="W21" s="327" t="s">
        <v>959</v>
      </c>
      <c r="X21" s="327"/>
      <c r="Y21" s="327" t="s">
        <v>960</v>
      </c>
      <c r="Z21" s="327"/>
    </row>
    <row r="22" spans="14:28" ht="12.75">
      <c r="N22" s="150">
        <f ca="1" t="shared" si="0"/>
        <v>0</v>
      </c>
      <c r="O22" s="151">
        <f ca="1" t="shared" si="0"/>
        <v>6</v>
      </c>
      <c r="P22" s="152">
        <f ca="1" t="shared" si="0"/>
        <v>0</v>
      </c>
      <c r="Q22" s="153">
        <f ca="1" t="shared" si="0"/>
        <v>27</v>
      </c>
      <c r="T22" s="106" t="s">
        <v>1012</v>
      </c>
      <c r="U22" s="63" t="s">
        <v>954</v>
      </c>
      <c r="V22" s="63" t="s">
        <v>955</v>
      </c>
      <c r="W22" s="63" t="s">
        <v>954</v>
      </c>
      <c r="X22" s="63" t="s">
        <v>955</v>
      </c>
      <c r="Y22" s="48" t="s">
        <v>961</v>
      </c>
      <c r="Z22" s="48" t="s">
        <v>962</v>
      </c>
      <c r="AA22" s="63" t="s">
        <v>737</v>
      </c>
      <c r="AB22" s="63"/>
    </row>
    <row r="23" spans="5:27" ht="12.75">
      <c r="E23" s="71"/>
      <c r="N23" s="150">
        <f ca="1" t="shared" si="0"/>
        <v>0</v>
      </c>
      <c r="O23" s="151">
        <f ca="1" t="shared" si="0"/>
        <v>0</v>
      </c>
      <c r="P23" s="152">
        <f ca="1" t="shared" si="0"/>
        <v>0</v>
      </c>
      <c r="Q23" s="153">
        <f ca="1" t="shared" si="0"/>
        <v>0</v>
      </c>
      <c r="S23" s="48" t="s">
        <v>889</v>
      </c>
      <c r="T23" s="48">
        <v>1.63805</v>
      </c>
      <c r="U23" s="48">
        <v>4</v>
      </c>
      <c r="V23" s="48">
        <v>4</v>
      </c>
      <c r="W23" s="48">
        <v>1</v>
      </c>
      <c r="X23" s="48">
        <v>1</v>
      </c>
      <c r="Y23" s="48">
        <v>0.225</v>
      </c>
      <c r="Z23" s="48">
        <v>0.414</v>
      </c>
      <c r="AA23" s="107">
        <f>T23*2/(X23+W23)</f>
        <v>1.63805</v>
      </c>
    </row>
    <row r="24" spans="14:27" ht="12.75">
      <c r="N24" s="150">
        <f ca="1" t="shared" si="0"/>
        <v>0</v>
      </c>
      <c r="O24" s="151">
        <f ca="1" t="shared" si="0"/>
        <v>0</v>
      </c>
      <c r="P24" s="152">
        <f ca="1" t="shared" si="0"/>
        <v>0</v>
      </c>
      <c r="Q24" s="153">
        <f ca="1" t="shared" si="0"/>
        <v>0</v>
      </c>
      <c r="S24" s="48" t="s">
        <v>953</v>
      </c>
      <c r="T24" s="48">
        <v>1.64132</v>
      </c>
      <c r="U24" s="48">
        <v>4</v>
      </c>
      <c r="V24" s="48">
        <v>4</v>
      </c>
      <c r="W24" s="48">
        <v>1</v>
      </c>
      <c r="X24" s="48">
        <v>1</v>
      </c>
      <c r="Y24" s="48">
        <v>0.225</v>
      </c>
      <c r="Z24" s="48">
        <v>0.414</v>
      </c>
      <c r="AA24" s="107">
        <f aca="true" t="shared" si="1" ref="AA24:AA36">T24*2/(X24+W24)</f>
        <v>1.64132</v>
      </c>
    </row>
    <row r="25" spans="5:27" ht="12.75">
      <c r="E25" s="156"/>
      <c r="N25" s="150">
        <f ca="1" t="shared" si="0"/>
        <v>0</v>
      </c>
      <c r="O25" s="151">
        <f ca="1" t="shared" si="0"/>
        <v>0</v>
      </c>
      <c r="P25" s="152">
        <f ca="1" t="shared" si="0"/>
        <v>0</v>
      </c>
      <c r="Q25" s="153">
        <f ca="1" t="shared" si="0"/>
        <v>0</v>
      </c>
      <c r="S25" s="48" t="s">
        <v>965</v>
      </c>
      <c r="T25" s="48">
        <v>1.7475645946332</v>
      </c>
      <c r="U25" s="48">
        <v>6</v>
      </c>
      <c r="V25" s="48">
        <v>6</v>
      </c>
      <c r="W25" s="48">
        <v>1</v>
      </c>
      <c r="X25" s="48">
        <v>1</v>
      </c>
      <c r="Y25" s="48">
        <v>0.414</v>
      </c>
      <c r="Z25" s="48">
        <v>0.73</v>
      </c>
      <c r="AA25" s="107">
        <f t="shared" si="1"/>
        <v>1.7475645946332</v>
      </c>
    </row>
    <row r="26" spans="5:27" ht="12.75">
      <c r="E26" s="157"/>
      <c r="N26" s="150">
        <f ca="1" t="shared" si="0"/>
        <v>0</v>
      </c>
      <c r="O26" s="151">
        <f ca="1" t="shared" si="0"/>
        <v>0</v>
      </c>
      <c r="P26" s="152">
        <f ca="1" t="shared" si="0"/>
        <v>0</v>
      </c>
      <c r="Q26" s="153">
        <f ca="1" t="shared" si="0"/>
        <v>0</v>
      </c>
      <c r="S26" s="48" t="s">
        <v>952</v>
      </c>
      <c r="T26" s="48">
        <v>1.76267</v>
      </c>
      <c r="U26" s="48">
        <v>8</v>
      </c>
      <c r="V26" s="48">
        <v>8</v>
      </c>
      <c r="W26" s="48">
        <v>1</v>
      </c>
      <c r="X26" s="48">
        <v>1</v>
      </c>
      <c r="Y26" s="48">
        <v>0.73</v>
      </c>
      <c r="Z26" s="48" t="s">
        <v>963</v>
      </c>
      <c r="AA26" s="107">
        <f t="shared" si="1"/>
        <v>1.76267</v>
      </c>
    </row>
    <row r="27" spans="14:32" ht="12.75">
      <c r="N27" s="150">
        <f ca="1" t="shared" si="0"/>
        <v>0</v>
      </c>
      <c r="O27" s="151">
        <f ca="1" t="shared" si="0"/>
        <v>0</v>
      </c>
      <c r="P27" s="152">
        <f ca="1" t="shared" si="0"/>
        <v>0</v>
      </c>
      <c r="Q27" s="153">
        <f ca="1" t="shared" si="0"/>
        <v>0</v>
      </c>
      <c r="S27" s="48" t="s">
        <v>733</v>
      </c>
      <c r="T27" s="48">
        <v>1.6925</v>
      </c>
      <c r="U27" s="48">
        <v>6</v>
      </c>
      <c r="V27" s="48">
        <v>6</v>
      </c>
      <c r="W27" s="48">
        <v>1</v>
      </c>
      <c r="X27" s="48">
        <v>1</v>
      </c>
      <c r="Y27" s="48">
        <v>0.414</v>
      </c>
      <c r="Z27" s="48">
        <v>0.73</v>
      </c>
      <c r="AA27" s="107">
        <f t="shared" si="1"/>
        <v>1.6925</v>
      </c>
      <c r="AF27" s="114"/>
    </row>
    <row r="28" spans="13:32" ht="12.75" customHeight="1">
      <c r="M28" s="158"/>
      <c r="N28" s="150">
        <f ca="1" t="shared" si="0"/>
        <v>0</v>
      </c>
      <c r="O28" s="151">
        <f ca="1" t="shared" si="0"/>
        <v>0</v>
      </c>
      <c r="P28" s="152">
        <f ca="1" t="shared" si="0"/>
        <v>0</v>
      </c>
      <c r="Q28" s="153">
        <f ca="1" t="shared" si="0"/>
        <v>0</v>
      </c>
      <c r="S28" s="48" t="s">
        <v>966</v>
      </c>
      <c r="T28" s="48">
        <v>1.58021</v>
      </c>
      <c r="U28" s="48">
        <v>4</v>
      </c>
      <c r="V28" s="48">
        <v>4</v>
      </c>
      <c r="W28" s="48">
        <v>1</v>
      </c>
      <c r="X28" s="48">
        <v>1</v>
      </c>
      <c r="AA28" s="107">
        <f t="shared" si="1"/>
        <v>1.58021</v>
      </c>
      <c r="AF28" s="124"/>
    </row>
    <row r="29" spans="1:27" ht="15.75">
      <c r="A29" s="322" t="s">
        <v>772</v>
      </c>
      <c r="B29" s="322"/>
      <c r="C29" s="323" t="s">
        <v>532</v>
      </c>
      <c r="D29" s="324"/>
      <c r="E29" s="324"/>
      <c r="F29" s="323" t="s">
        <v>533</v>
      </c>
      <c r="G29" s="324"/>
      <c r="H29" s="324"/>
      <c r="I29" s="324"/>
      <c r="J29" s="323" t="s">
        <v>534</v>
      </c>
      <c r="K29" s="324"/>
      <c r="L29" s="324"/>
      <c r="M29" s="158"/>
      <c r="N29" s="150">
        <f ca="1" t="shared" si="0"/>
        <v>0</v>
      </c>
      <c r="O29" s="151">
        <f ca="1" t="shared" si="0"/>
        <v>0</v>
      </c>
      <c r="P29" s="152">
        <f ca="1" t="shared" si="0"/>
        <v>0</v>
      </c>
      <c r="Q29" s="153">
        <f ca="1" t="shared" si="0"/>
        <v>0</v>
      </c>
      <c r="S29" s="48" t="s">
        <v>535</v>
      </c>
      <c r="T29" s="48">
        <v>2.408</v>
      </c>
      <c r="U29" s="48">
        <v>6</v>
      </c>
      <c r="V29" s="48">
        <v>3</v>
      </c>
      <c r="W29" s="48">
        <v>1</v>
      </c>
      <c r="X29" s="48">
        <v>2</v>
      </c>
      <c r="Y29" s="48">
        <v>0.414</v>
      </c>
      <c r="Z29" s="48">
        <v>0.73</v>
      </c>
      <c r="AA29" s="107">
        <f t="shared" si="1"/>
        <v>1.6053333333333333</v>
      </c>
    </row>
    <row r="30" spans="1:27" ht="15.75">
      <c r="A30" s="322"/>
      <c r="B30" s="322"/>
      <c r="C30" s="324"/>
      <c r="D30" s="324"/>
      <c r="E30" s="324"/>
      <c r="F30" s="324"/>
      <c r="G30" s="324"/>
      <c r="H30" s="324"/>
      <c r="I30" s="324"/>
      <c r="J30" s="324"/>
      <c r="K30" s="324"/>
      <c r="L30" s="324"/>
      <c r="N30" s="150">
        <f ca="1" t="shared" si="0"/>
        <v>0</v>
      </c>
      <c r="O30" s="151">
        <f ca="1" t="shared" si="0"/>
        <v>0</v>
      </c>
      <c r="P30" s="152">
        <f ca="1" t="shared" si="0"/>
        <v>0</v>
      </c>
      <c r="Q30" s="153">
        <f ca="1" t="shared" si="0"/>
        <v>0</v>
      </c>
      <c r="S30" s="48" t="s">
        <v>536</v>
      </c>
      <c r="T30" s="48">
        <v>2.51939</v>
      </c>
      <c r="U30" s="48">
        <v>8</v>
      </c>
      <c r="V30" s="48">
        <v>4</v>
      </c>
      <c r="W30" s="48">
        <v>1</v>
      </c>
      <c r="X30" s="48">
        <v>2</v>
      </c>
      <c r="Y30" s="48">
        <v>0.73</v>
      </c>
      <c r="Z30" s="48" t="s">
        <v>963</v>
      </c>
      <c r="AA30" s="107">
        <f t="shared" si="1"/>
        <v>1.6795933333333333</v>
      </c>
    </row>
    <row r="31" spans="14:45" ht="15.75">
      <c r="N31" s="150">
        <f ca="1" t="shared" si="0"/>
        <v>0</v>
      </c>
      <c r="O31" s="151">
        <f ca="1" t="shared" si="0"/>
        <v>0</v>
      </c>
      <c r="P31" s="152">
        <f ca="1" t="shared" si="0"/>
        <v>0</v>
      </c>
      <c r="Q31" s="153">
        <f ca="1" t="shared" si="0"/>
        <v>0</v>
      </c>
      <c r="S31" s="48" t="s">
        <v>537</v>
      </c>
      <c r="T31" s="48">
        <v>2.201</v>
      </c>
      <c r="U31" s="48">
        <v>4</v>
      </c>
      <c r="V31" s="48">
        <v>2</v>
      </c>
      <c r="W31" s="48">
        <v>1</v>
      </c>
      <c r="X31" s="48">
        <v>2</v>
      </c>
      <c r="Y31" s="48">
        <v>0.225</v>
      </c>
      <c r="Z31" s="48">
        <v>0.414</v>
      </c>
      <c r="AA31" s="107">
        <f>T31*2/(X31+W31)</f>
        <v>1.4673333333333334</v>
      </c>
      <c r="AD31" s="159"/>
      <c r="AQ31" s="145" t="s">
        <v>1001</v>
      </c>
      <c r="AS31" s="159"/>
    </row>
    <row r="32" spans="14:46" ht="16.5" customHeight="1">
      <c r="N32" s="150">
        <f ca="1" t="shared" si="0"/>
        <v>0</v>
      </c>
      <c r="O32" s="151">
        <f ca="1" t="shared" si="0"/>
        <v>0</v>
      </c>
      <c r="P32" s="152">
        <f ca="1" t="shared" si="0"/>
        <v>0</v>
      </c>
      <c r="Q32" s="153">
        <f ca="1" t="shared" si="0"/>
        <v>0</v>
      </c>
      <c r="S32" s="48" t="s">
        <v>538</v>
      </c>
      <c r="T32" s="155">
        <v>2.36</v>
      </c>
      <c r="U32" s="48">
        <v>6</v>
      </c>
      <c r="V32" s="48">
        <v>3</v>
      </c>
      <c r="W32" s="48">
        <v>1</v>
      </c>
      <c r="X32" s="48">
        <v>2</v>
      </c>
      <c r="Y32" s="48">
        <v>0.414</v>
      </c>
      <c r="Z32" s="48">
        <v>0.73</v>
      </c>
      <c r="AA32" s="107">
        <f>T32*2/(X32+W32)</f>
        <v>1.5733333333333333</v>
      </c>
      <c r="AD32" s="159"/>
      <c r="AQ32" s="63" t="s">
        <v>993</v>
      </c>
      <c r="AR32" s="63" t="s">
        <v>994</v>
      </c>
      <c r="AS32" s="63"/>
      <c r="AT32" s="63"/>
    </row>
    <row r="33" spans="14:48" ht="15.75">
      <c r="N33" s="150">
        <f ca="1" t="shared" si="0"/>
        <v>0</v>
      </c>
      <c r="O33" s="151">
        <f ca="1" t="shared" si="0"/>
        <v>0</v>
      </c>
      <c r="P33" s="152">
        <f ca="1" t="shared" si="0"/>
        <v>0</v>
      </c>
      <c r="Q33" s="153">
        <f ca="1" t="shared" si="0"/>
        <v>0</v>
      </c>
      <c r="S33" s="48" t="s">
        <v>539</v>
      </c>
      <c r="T33" s="48">
        <v>2.51939</v>
      </c>
      <c r="U33" s="48">
        <v>4</v>
      </c>
      <c r="V33" s="48">
        <v>8</v>
      </c>
      <c r="W33" s="48">
        <v>2</v>
      </c>
      <c r="X33" s="48">
        <v>1</v>
      </c>
      <c r="Y33" s="48">
        <v>0.73</v>
      </c>
      <c r="Z33" s="48" t="s">
        <v>963</v>
      </c>
      <c r="AA33" s="107">
        <f>T33*2/(X33+W33)</f>
        <v>1.6795933333333333</v>
      </c>
      <c r="AO33" s="320" t="s">
        <v>895</v>
      </c>
      <c r="AP33" s="58" t="s">
        <v>992</v>
      </c>
      <c r="AQ33" s="161">
        <v>0.05</v>
      </c>
      <c r="AR33" s="161">
        <v>0</v>
      </c>
      <c r="AS33" s="64"/>
      <c r="AU33" s="58" t="s">
        <v>873</v>
      </c>
      <c r="AV33" s="162">
        <v>0.005</v>
      </c>
    </row>
    <row r="34" spans="14:48" ht="15.75">
      <c r="N34" s="150">
        <f ca="1" t="shared" si="0"/>
        <v>0</v>
      </c>
      <c r="O34" s="151">
        <f ca="1" t="shared" si="0"/>
        <v>0</v>
      </c>
      <c r="P34" s="152">
        <f ca="1" t="shared" si="0"/>
        <v>0</v>
      </c>
      <c r="Q34" s="153">
        <f ca="1" t="shared" si="0"/>
        <v>0</v>
      </c>
      <c r="S34" s="48" t="s">
        <v>540</v>
      </c>
      <c r="T34" s="48">
        <f>4.44248/2</f>
        <v>2.22124</v>
      </c>
      <c r="U34" s="48">
        <v>2</v>
      </c>
      <c r="V34" s="48">
        <v>4</v>
      </c>
      <c r="W34" s="48">
        <v>2</v>
      </c>
      <c r="X34" s="48">
        <v>1</v>
      </c>
      <c r="Y34" s="48">
        <v>0.225</v>
      </c>
      <c r="Z34" s="48">
        <v>0.414</v>
      </c>
      <c r="AA34" s="107">
        <f t="shared" si="1"/>
        <v>1.4808266666666665</v>
      </c>
      <c r="AO34" s="320"/>
      <c r="AP34" s="58" t="s">
        <v>720</v>
      </c>
      <c r="AQ34" s="161">
        <v>0.2</v>
      </c>
      <c r="AR34" s="107">
        <f>AR33</f>
        <v>0</v>
      </c>
      <c r="AS34" s="159"/>
      <c r="AU34" s="58" t="s">
        <v>999</v>
      </c>
      <c r="AV34" s="162">
        <f>(MAX(AR62:AR63)-MIN(AR76:AR77))/25</f>
        <v>111.93790158304157</v>
      </c>
    </row>
    <row r="35" spans="14:45" ht="15.75">
      <c r="N35" s="150">
        <f ca="1" t="shared" si="0"/>
        <v>0</v>
      </c>
      <c r="O35" s="151">
        <f ca="1" t="shared" si="0"/>
        <v>0</v>
      </c>
      <c r="P35" s="152">
        <f ca="1" t="shared" si="0"/>
        <v>0</v>
      </c>
      <c r="Q35" s="153">
        <f ca="1" t="shared" si="0"/>
        <v>0</v>
      </c>
      <c r="S35" s="48" t="s">
        <v>541</v>
      </c>
      <c r="T35" s="163">
        <v>4.04</v>
      </c>
      <c r="U35" s="48">
        <v>6</v>
      </c>
      <c r="V35" s="48">
        <v>4</v>
      </c>
      <c r="W35" s="48">
        <v>2</v>
      </c>
      <c r="X35" s="48">
        <v>3</v>
      </c>
      <c r="Y35" s="48">
        <v>0.225</v>
      </c>
      <c r="Z35" s="48">
        <v>0.73</v>
      </c>
      <c r="AA35" s="107">
        <f t="shared" si="1"/>
        <v>1.616</v>
      </c>
      <c r="AO35" s="63" t="s">
        <v>893</v>
      </c>
      <c r="AP35" s="58" t="s">
        <v>542</v>
      </c>
      <c r="AQ35" s="107">
        <f>AQ36-AT61</f>
        <v>0.135</v>
      </c>
      <c r="AR35" s="107">
        <f>AR33-$AV$34</f>
        <v>-111.93790158304157</v>
      </c>
      <c r="AS35" s="159"/>
    </row>
    <row r="36" spans="9:44" ht="17.25" customHeight="1">
      <c r="I36" s="40"/>
      <c r="J36" s="40"/>
      <c r="K36" s="40"/>
      <c r="L36" s="40"/>
      <c r="N36" s="164"/>
      <c r="P36" s="165"/>
      <c r="Q36" s="166"/>
      <c r="S36" s="48" t="s">
        <v>543</v>
      </c>
      <c r="T36" s="163">
        <f>9.57905/3</f>
        <v>3.193016666666667</v>
      </c>
      <c r="U36" s="48" t="s">
        <v>734</v>
      </c>
      <c r="V36" s="48" t="s">
        <v>735</v>
      </c>
      <c r="W36" s="48">
        <v>1</v>
      </c>
      <c r="X36" s="48">
        <v>3</v>
      </c>
      <c r="AA36" s="107">
        <f t="shared" si="1"/>
        <v>1.5965083333333334</v>
      </c>
      <c r="AQ36" s="161">
        <f>AQ33+0.11</f>
        <v>0.16</v>
      </c>
      <c r="AR36" s="107">
        <f>AR35</f>
        <v>-111.93790158304157</v>
      </c>
    </row>
    <row r="37" spans="1:44" ht="16.5" customHeight="1">
      <c r="A37" s="167"/>
      <c r="B37" s="167"/>
      <c r="C37" s="167" t="s">
        <v>950</v>
      </c>
      <c r="D37" s="63"/>
      <c r="F37" s="63" t="s">
        <v>984</v>
      </c>
      <c r="H37" s="168" t="s">
        <v>978</v>
      </c>
      <c r="Q37" s="169"/>
      <c r="R37" s="170"/>
      <c r="S37" s="48" t="s">
        <v>736</v>
      </c>
      <c r="T37" s="171">
        <f>AA37/2*(W37+X37)</f>
        <v>6.503096074657103</v>
      </c>
      <c r="W37" s="90">
        <v>1</v>
      </c>
      <c r="X37" s="90">
        <v>7</v>
      </c>
      <c r="AA37" s="162">
        <f>AVERAGE(AA23:AA36)</f>
        <v>1.6257740186642757</v>
      </c>
      <c r="AQ37" s="107">
        <f>AQ36+AT61</f>
        <v>0.185</v>
      </c>
      <c r="AR37" s="107">
        <f>AR35</f>
        <v>-111.93790158304157</v>
      </c>
    </row>
    <row r="38" spans="1:46" ht="15.75">
      <c r="A38" s="172" t="s">
        <v>731</v>
      </c>
      <c r="B38" s="173" t="s">
        <v>544</v>
      </c>
      <c r="C38" s="129" t="s">
        <v>529</v>
      </c>
      <c r="D38" s="117" t="s">
        <v>968</v>
      </c>
      <c r="E38" s="117" t="s">
        <v>987</v>
      </c>
      <c r="F38" s="117" t="s">
        <v>986</v>
      </c>
      <c r="G38" s="174" t="s">
        <v>985</v>
      </c>
      <c r="H38" s="175" t="s">
        <v>651</v>
      </c>
      <c r="I38" s="116" t="s">
        <v>652</v>
      </c>
      <c r="J38" s="176" t="s">
        <v>584</v>
      </c>
      <c r="K38" s="128" t="s">
        <v>972</v>
      </c>
      <c r="L38" s="128" t="s">
        <v>973</v>
      </c>
      <c r="M38" s="128" t="s">
        <v>974</v>
      </c>
      <c r="N38" s="128" t="s">
        <v>589</v>
      </c>
      <c r="O38" s="128" t="s">
        <v>975</v>
      </c>
      <c r="P38" s="128" t="s">
        <v>976</v>
      </c>
      <c r="Q38" s="128" t="s">
        <v>977</v>
      </c>
      <c r="S38" s="177" t="s">
        <v>905</v>
      </c>
      <c r="AO38" s="320" t="s">
        <v>894</v>
      </c>
      <c r="AP38" s="320" t="s">
        <v>899</v>
      </c>
      <c r="AQ38" s="161">
        <v>0.07</v>
      </c>
      <c r="AR38" s="107">
        <f>AR34</f>
        <v>0</v>
      </c>
      <c r="AT38" s="48" t="s">
        <v>719</v>
      </c>
    </row>
    <row r="39" spans="1:46" ht="12.75">
      <c r="A39" s="40" t="s">
        <v>724</v>
      </c>
      <c r="B39" s="48" t="s">
        <v>723</v>
      </c>
      <c r="C39" s="48">
        <v>406</v>
      </c>
      <c r="D39" s="48">
        <v>1</v>
      </c>
      <c r="F39" s="178"/>
      <c r="H39" s="179">
        <v>89</v>
      </c>
      <c r="I39" s="144" t="s">
        <v>704</v>
      </c>
      <c r="J39" s="144">
        <v>0.499</v>
      </c>
      <c r="K39" s="180">
        <v>1.145</v>
      </c>
      <c r="L39" s="180">
        <v>1.9</v>
      </c>
      <c r="M39" s="144"/>
      <c r="N39" s="144"/>
      <c r="O39" s="144"/>
      <c r="P39" s="144"/>
      <c r="Q39" s="181"/>
      <c r="R39" s="181"/>
      <c r="S39" s="48" t="s">
        <v>906</v>
      </c>
      <c r="AO39" s="320"/>
      <c r="AP39" s="320"/>
      <c r="AQ39" s="77">
        <f>AQ38</f>
        <v>0.07</v>
      </c>
      <c r="AR39" s="182">
        <f>AR38+$AE$7</f>
        <v>177.8</v>
      </c>
      <c r="AT39" s="145" t="s">
        <v>545</v>
      </c>
    </row>
    <row r="40" spans="1:46" ht="12.75">
      <c r="A40" s="40" t="s">
        <v>724</v>
      </c>
      <c r="B40" s="48" t="s">
        <v>722</v>
      </c>
      <c r="C40" s="144">
        <v>284.9</v>
      </c>
      <c r="D40" s="48">
        <v>1</v>
      </c>
      <c r="F40" s="183"/>
      <c r="G40" s="106">
        <v>125.6</v>
      </c>
      <c r="H40" s="179">
        <v>47</v>
      </c>
      <c r="I40" s="144" t="s">
        <v>615</v>
      </c>
      <c r="J40" s="184">
        <v>0.731</v>
      </c>
      <c r="K40" s="144">
        <v>2.074</v>
      </c>
      <c r="L40" s="144">
        <v>3.361</v>
      </c>
      <c r="M40" s="144"/>
      <c r="N40" s="144"/>
      <c r="O40" s="144"/>
      <c r="P40" s="144"/>
      <c r="Q40" s="181"/>
      <c r="R40" s="181"/>
      <c r="AO40" s="160" t="s">
        <v>924</v>
      </c>
      <c r="AP40" s="160" t="s">
        <v>923</v>
      </c>
      <c r="AQ40" s="107">
        <f>IF(AE7=0,0,AQ38+0.007)</f>
        <v>0.07700000000000001</v>
      </c>
      <c r="AR40" s="107">
        <f>AR38+(AR39-AR38)/2</f>
        <v>88.9</v>
      </c>
      <c r="AT40" s="48" t="s">
        <v>897</v>
      </c>
    </row>
    <row r="41" spans="1:46" ht="12.75">
      <c r="A41" s="40" t="s">
        <v>724</v>
      </c>
      <c r="B41" s="64" t="s">
        <v>729</v>
      </c>
      <c r="C41" s="48">
        <v>329.6</v>
      </c>
      <c r="D41" s="48">
        <v>1</v>
      </c>
      <c r="F41" s="183"/>
      <c r="G41" s="106">
        <v>42.6</v>
      </c>
      <c r="H41" s="179">
        <v>13</v>
      </c>
      <c r="I41" s="144" t="s">
        <v>640</v>
      </c>
      <c r="J41" s="144">
        <v>0.5776</v>
      </c>
      <c r="K41" s="144">
        <v>1.8167</v>
      </c>
      <c r="L41" s="144">
        <v>2.7448</v>
      </c>
      <c r="M41" s="144">
        <v>11.578</v>
      </c>
      <c r="N41" s="144">
        <v>14.831</v>
      </c>
      <c r="O41" s="144">
        <v>18.378</v>
      </c>
      <c r="P41" s="144">
        <v>23.295</v>
      </c>
      <c r="Q41" s="181">
        <v>27.459</v>
      </c>
      <c r="R41" s="181"/>
      <c r="AO41" s="320" t="s">
        <v>895</v>
      </c>
      <c r="AP41" s="320" t="s">
        <v>727</v>
      </c>
      <c r="AQ41" s="107">
        <f>$AQ$33</f>
        <v>0.05</v>
      </c>
      <c r="AR41" s="107">
        <f>AR39</f>
        <v>177.8</v>
      </c>
      <c r="AT41" s="48" t="s">
        <v>898</v>
      </c>
    </row>
    <row r="42" spans="1:44" ht="12.75">
      <c r="A42" s="40" t="s">
        <v>724</v>
      </c>
      <c r="B42" s="48" t="s">
        <v>729</v>
      </c>
      <c r="C42" s="48">
        <v>284.1</v>
      </c>
      <c r="D42" s="48">
        <v>1</v>
      </c>
      <c r="F42" s="178"/>
      <c r="H42" s="179">
        <v>95</v>
      </c>
      <c r="I42" s="144" t="s">
        <v>620</v>
      </c>
      <c r="J42" s="144">
        <v>0.578</v>
      </c>
      <c r="K42" s="144">
        <v>1.16</v>
      </c>
      <c r="L42" s="185">
        <v>2.16</v>
      </c>
      <c r="M42" s="144"/>
      <c r="N42" s="144"/>
      <c r="O42" s="144"/>
      <c r="P42" s="144"/>
      <c r="Q42" s="181"/>
      <c r="R42" s="181"/>
      <c r="AO42" s="320"/>
      <c r="AP42" s="320"/>
      <c r="AQ42" s="107">
        <f>$AQ$34</f>
        <v>0.2</v>
      </c>
      <c r="AR42" s="107">
        <f>AR41</f>
        <v>177.8</v>
      </c>
    </row>
    <row r="43" spans="1:44" ht="15.75">
      <c r="A43" s="40" t="s">
        <v>725</v>
      </c>
      <c r="B43" s="48" t="s">
        <v>730</v>
      </c>
      <c r="C43" s="48">
        <v>0</v>
      </c>
      <c r="D43" s="48">
        <v>1</v>
      </c>
      <c r="F43" s="178"/>
      <c r="G43" s="48">
        <v>-0.1</v>
      </c>
      <c r="H43" s="179">
        <v>18</v>
      </c>
      <c r="I43" s="144" t="s">
        <v>658</v>
      </c>
      <c r="J43" s="144">
        <v>1.5205</v>
      </c>
      <c r="K43" s="144">
        <v>2.6658</v>
      </c>
      <c r="L43" s="144">
        <v>3.931</v>
      </c>
      <c r="M43" s="144">
        <v>5.771</v>
      </c>
      <c r="N43" s="144">
        <v>7.238</v>
      </c>
      <c r="O43" s="184">
        <v>8.781</v>
      </c>
      <c r="P43" s="144">
        <v>11.9952</v>
      </c>
      <c r="Q43" s="181">
        <v>13.8417</v>
      </c>
      <c r="R43" s="181"/>
      <c r="AO43" s="63" t="s">
        <v>893</v>
      </c>
      <c r="AP43" s="58" t="s">
        <v>546</v>
      </c>
      <c r="AQ43" s="107">
        <f>AQ44-AT61</f>
        <v>0.135</v>
      </c>
      <c r="AR43" s="107">
        <f>AR41+$AV$34</f>
        <v>289.73790158304155</v>
      </c>
    </row>
    <row r="44" spans="1:44" ht="12.75">
      <c r="A44" s="40" t="s">
        <v>724</v>
      </c>
      <c r="B44" s="48" t="s">
        <v>723</v>
      </c>
      <c r="C44" s="48">
        <v>303</v>
      </c>
      <c r="D44" s="48">
        <v>1</v>
      </c>
      <c r="E44" s="48">
        <v>-802</v>
      </c>
      <c r="F44" s="186">
        <v>-435</v>
      </c>
      <c r="G44" s="106">
        <v>78</v>
      </c>
      <c r="H44" s="179">
        <v>33</v>
      </c>
      <c r="I44" s="144" t="s">
        <v>593</v>
      </c>
      <c r="J44" s="144">
        <v>0.944</v>
      </c>
      <c r="K44" s="144">
        <v>1.7979</v>
      </c>
      <c r="L44" s="144">
        <v>2.7355</v>
      </c>
      <c r="M44" s="144">
        <v>4.837</v>
      </c>
      <c r="N44" s="144">
        <v>6.043</v>
      </c>
      <c r="O44" s="144">
        <v>12.31</v>
      </c>
      <c r="P44" s="144"/>
      <c r="Q44" s="181"/>
      <c r="R44" s="181"/>
      <c r="AO44" s="160"/>
      <c r="AP44" s="160"/>
      <c r="AQ44" s="107">
        <f>AQ36</f>
        <v>0.16</v>
      </c>
      <c r="AR44" s="107">
        <f>AR43</f>
        <v>289.73790158304155</v>
      </c>
    </row>
    <row r="45" spans="1:44" ht="12.75">
      <c r="A45" s="40" t="s">
        <v>724</v>
      </c>
      <c r="B45" s="48" t="s">
        <v>721</v>
      </c>
      <c r="D45" s="48">
        <v>1</v>
      </c>
      <c r="F45" s="178"/>
      <c r="H45" s="179">
        <v>85</v>
      </c>
      <c r="I45" s="144" t="s">
        <v>700</v>
      </c>
      <c r="J45" s="180">
        <v>0.93</v>
      </c>
      <c r="K45" s="180">
        <v>1.6</v>
      </c>
      <c r="L45" s="180">
        <v>2.9</v>
      </c>
      <c r="M45" s="144"/>
      <c r="N45" s="144"/>
      <c r="O45" s="144"/>
      <c r="P45" s="144"/>
      <c r="Q45" s="181"/>
      <c r="R45" s="181"/>
      <c r="AQ45" s="107">
        <f>AQ44+AT61</f>
        <v>0.185</v>
      </c>
      <c r="AR45" s="107">
        <f>AR43</f>
        <v>289.73790158304155</v>
      </c>
    </row>
    <row r="46" spans="1:44" ht="12.75">
      <c r="A46" s="40" t="s">
        <v>724</v>
      </c>
      <c r="B46" s="48" t="s">
        <v>723</v>
      </c>
      <c r="C46" s="48">
        <v>366</v>
      </c>
      <c r="D46" s="48">
        <v>1</v>
      </c>
      <c r="F46" s="186"/>
      <c r="G46" s="106">
        <v>223</v>
      </c>
      <c r="H46" s="179">
        <v>79</v>
      </c>
      <c r="I46" s="144" t="s">
        <v>695</v>
      </c>
      <c r="J46" s="144">
        <v>0.8901</v>
      </c>
      <c r="K46" s="144">
        <v>1.98</v>
      </c>
      <c r="L46" s="185">
        <v>2.899</v>
      </c>
      <c r="M46" s="144"/>
      <c r="N46" s="144"/>
      <c r="O46" s="144"/>
      <c r="P46" s="144"/>
      <c r="Q46" s="181"/>
      <c r="R46" s="187"/>
      <c r="AO46" s="320" t="s">
        <v>894</v>
      </c>
      <c r="AP46" s="320" t="s">
        <v>900</v>
      </c>
      <c r="AQ46" s="77">
        <f>AQ38+$AV$33</f>
        <v>0.07500000000000001</v>
      </c>
      <c r="AR46" s="107">
        <f>AR42</f>
        <v>177.8</v>
      </c>
    </row>
    <row r="47" spans="1:44" ht="12.75">
      <c r="A47" s="40" t="s">
        <v>724</v>
      </c>
      <c r="B47" s="48" t="s">
        <v>730</v>
      </c>
      <c r="C47" s="48">
        <v>560</v>
      </c>
      <c r="D47" s="48">
        <v>1</v>
      </c>
      <c r="F47" s="183"/>
      <c r="G47" s="106">
        <v>26.7</v>
      </c>
      <c r="H47" s="179">
        <v>5</v>
      </c>
      <c r="I47" s="144" t="s">
        <v>638</v>
      </c>
      <c r="J47" s="144">
        <v>0.8006</v>
      </c>
      <c r="K47" s="184">
        <v>2.427</v>
      </c>
      <c r="L47" s="144">
        <v>3.6598</v>
      </c>
      <c r="M47" s="144">
        <v>25.0257</v>
      </c>
      <c r="N47" s="144">
        <v>32.8266</v>
      </c>
      <c r="O47" s="144"/>
      <c r="P47" s="144"/>
      <c r="Q47" s="181"/>
      <c r="R47" s="181"/>
      <c r="AO47" s="320"/>
      <c r="AP47" s="320"/>
      <c r="AQ47" s="77">
        <f>AQ46</f>
        <v>0.07500000000000001</v>
      </c>
      <c r="AR47" s="182">
        <f>AR46+$AE$8</f>
        <v>1925.3948557825</v>
      </c>
    </row>
    <row r="48" spans="1:44" ht="15.75">
      <c r="A48" s="40" t="s">
        <v>724</v>
      </c>
      <c r="B48" s="48" t="s">
        <v>730</v>
      </c>
      <c r="C48" s="48">
        <v>179.1</v>
      </c>
      <c r="D48" s="48">
        <v>1</v>
      </c>
      <c r="F48" s="178"/>
      <c r="G48" s="188"/>
      <c r="H48" s="179">
        <v>56</v>
      </c>
      <c r="I48" s="144" t="s">
        <v>627</v>
      </c>
      <c r="J48" s="144">
        <v>0.5029</v>
      </c>
      <c r="K48" s="144">
        <v>0.96526</v>
      </c>
      <c r="L48" s="185">
        <v>3.619</v>
      </c>
      <c r="M48" s="144"/>
      <c r="N48" s="144"/>
      <c r="O48" s="144"/>
      <c r="P48" s="144"/>
      <c r="Q48" s="181"/>
      <c r="R48" s="181"/>
      <c r="AO48" s="58" t="s">
        <v>924</v>
      </c>
      <c r="AP48" s="58" t="s">
        <v>926</v>
      </c>
      <c r="AQ48" s="107">
        <f>AQ46+0.007</f>
        <v>0.08200000000000002</v>
      </c>
      <c r="AR48" s="107">
        <f>AR46+(AR47-AR46)/2</f>
        <v>1051.59742789125</v>
      </c>
    </row>
    <row r="49" spans="1:44" ht="15.75">
      <c r="A49" s="40" t="s">
        <v>724</v>
      </c>
      <c r="B49" s="48" t="s">
        <v>730</v>
      </c>
      <c r="C49" s="48">
        <v>324</v>
      </c>
      <c r="D49" s="48">
        <v>1</v>
      </c>
      <c r="F49" s="189"/>
      <c r="G49" s="188"/>
      <c r="H49" s="179">
        <v>4</v>
      </c>
      <c r="I49" s="144" t="s">
        <v>637</v>
      </c>
      <c r="J49" s="144">
        <v>0.8995</v>
      </c>
      <c r="K49" s="144">
        <v>1.7571</v>
      </c>
      <c r="L49" s="144">
        <v>14.8487</v>
      </c>
      <c r="M49" s="144">
        <v>21.0065</v>
      </c>
      <c r="N49" s="144"/>
      <c r="O49" s="144"/>
      <c r="P49" s="144"/>
      <c r="Q49" s="181"/>
      <c r="R49" s="181"/>
      <c r="AO49" s="320" t="s">
        <v>895</v>
      </c>
      <c r="AP49" s="320" t="s">
        <v>995</v>
      </c>
      <c r="AQ49" s="107">
        <f>$AQ$33</f>
        <v>0.05</v>
      </c>
      <c r="AR49" s="107">
        <f>AR47</f>
        <v>1925.3948557825</v>
      </c>
    </row>
    <row r="50" spans="1:44" ht="12.75">
      <c r="A50" s="40" t="s">
        <v>724</v>
      </c>
      <c r="B50" s="48" t="s">
        <v>723</v>
      </c>
      <c r="C50" s="48">
        <v>207</v>
      </c>
      <c r="D50" s="48">
        <v>1</v>
      </c>
      <c r="F50" s="186"/>
      <c r="G50" s="106">
        <v>91</v>
      </c>
      <c r="H50" s="179">
        <v>83</v>
      </c>
      <c r="I50" s="144" t="s">
        <v>639</v>
      </c>
      <c r="J50" s="144">
        <v>0.7033</v>
      </c>
      <c r="K50" s="180">
        <v>1.61</v>
      </c>
      <c r="L50" s="144">
        <v>2.466</v>
      </c>
      <c r="M50" s="144">
        <v>4.37</v>
      </c>
      <c r="N50" s="190">
        <v>5.4</v>
      </c>
      <c r="O50" s="144">
        <v>8.62</v>
      </c>
      <c r="P50" s="144"/>
      <c r="Q50" s="181"/>
      <c r="R50" s="181"/>
      <c r="AO50" s="320"/>
      <c r="AP50" s="320"/>
      <c r="AQ50" s="107">
        <f>$AQ$34</f>
        <v>0.2</v>
      </c>
      <c r="AR50" s="107">
        <f>AR49</f>
        <v>1925.3948557825</v>
      </c>
    </row>
    <row r="51" spans="1:44" ht="15.75">
      <c r="A51" s="40" t="s">
        <v>724</v>
      </c>
      <c r="B51" s="48" t="s">
        <v>721</v>
      </c>
      <c r="D51" s="48">
        <v>1</v>
      </c>
      <c r="F51" s="178"/>
      <c r="H51" s="179">
        <v>97</v>
      </c>
      <c r="I51" s="144" t="s">
        <v>709</v>
      </c>
      <c r="J51" s="144">
        <v>0.601</v>
      </c>
      <c r="K51" s="144">
        <v>1.19</v>
      </c>
      <c r="L51" s="185">
        <v>2.15</v>
      </c>
      <c r="M51" s="144"/>
      <c r="N51" s="144"/>
      <c r="O51" s="144"/>
      <c r="P51" s="144"/>
      <c r="Q51" s="181"/>
      <c r="R51" s="181"/>
      <c r="AO51" s="63" t="s">
        <v>893</v>
      </c>
      <c r="AP51" s="58" t="s">
        <v>547</v>
      </c>
      <c r="AQ51" s="77">
        <f>AQ52-AT61</f>
        <v>0.165</v>
      </c>
      <c r="AR51" s="107">
        <f>AR49+IF((AR47-AR46)&gt;(AR55-AR54),-$AV$34,$AV$34)</f>
        <v>1813.4569541994583</v>
      </c>
    </row>
    <row r="52" spans="1:44" ht="12.75">
      <c r="A52" s="40" t="s">
        <v>990</v>
      </c>
      <c r="B52" s="48" t="s">
        <v>730</v>
      </c>
      <c r="C52" s="48">
        <v>111.86</v>
      </c>
      <c r="D52" s="48">
        <v>2</v>
      </c>
      <c r="F52" s="178"/>
      <c r="G52" s="106">
        <v>324.536</v>
      </c>
      <c r="H52" s="179">
        <v>35</v>
      </c>
      <c r="I52" s="144" t="s">
        <v>580</v>
      </c>
      <c r="J52" s="144">
        <v>1.1399</v>
      </c>
      <c r="K52" s="190">
        <v>2.1</v>
      </c>
      <c r="L52" s="144">
        <v>3.5</v>
      </c>
      <c r="M52" s="144">
        <v>4.56</v>
      </c>
      <c r="N52" s="144">
        <v>5.76</v>
      </c>
      <c r="O52" s="144">
        <v>8.55</v>
      </c>
      <c r="P52" s="144">
        <v>9.938</v>
      </c>
      <c r="Q52" s="191">
        <v>18.6</v>
      </c>
      <c r="R52" s="181"/>
      <c r="AO52" s="63"/>
      <c r="AP52" s="58"/>
      <c r="AQ52" s="77">
        <f>AQ36+0.03</f>
        <v>0.19</v>
      </c>
      <c r="AR52" s="107">
        <f>AR51</f>
        <v>1813.4569541994583</v>
      </c>
    </row>
    <row r="53" spans="1:44" ht="12.75">
      <c r="A53" s="40" t="s">
        <v>724</v>
      </c>
      <c r="B53" s="48" t="s">
        <v>730</v>
      </c>
      <c r="C53" s="48">
        <v>716.67</v>
      </c>
      <c r="D53" s="48">
        <v>1</v>
      </c>
      <c r="F53" s="178"/>
      <c r="G53" s="106">
        <v>121.855</v>
      </c>
      <c r="H53" s="179">
        <v>6</v>
      </c>
      <c r="I53" s="144" t="s">
        <v>630</v>
      </c>
      <c r="J53" s="144">
        <v>1.0864</v>
      </c>
      <c r="K53" s="144">
        <v>2.3526</v>
      </c>
      <c r="L53" s="144">
        <v>4.6205</v>
      </c>
      <c r="M53" s="144">
        <v>6.2226</v>
      </c>
      <c r="N53" s="144">
        <v>37.8304</v>
      </c>
      <c r="O53" s="144">
        <v>47.2769</v>
      </c>
      <c r="P53" s="144"/>
      <c r="Q53" s="181"/>
      <c r="R53" s="181"/>
      <c r="AQ53" s="107">
        <f>AQ52+AT61</f>
        <v>0.215</v>
      </c>
      <c r="AR53" s="107">
        <f>AR51</f>
        <v>1813.4569541994583</v>
      </c>
    </row>
    <row r="54" spans="1:44" ht="12.75">
      <c r="A54" s="40" t="s">
        <v>724</v>
      </c>
      <c r="B54" s="48" t="s">
        <v>730</v>
      </c>
      <c r="C54" s="48">
        <v>177.8</v>
      </c>
      <c r="D54" s="48">
        <v>1</v>
      </c>
      <c r="F54" s="192"/>
      <c r="G54" s="106">
        <v>1.78</v>
      </c>
      <c r="H54" s="179">
        <v>20</v>
      </c>
      <c r="I54" s="144" t="s">
        <v>616</v>
      </c>
      <c r="J54" s="144">
        <v>0.5898</v>
      </c>
      <c r="K54" s="144">
        <v>1.1454</v>
      </c>
      <c r="L54" s="184">
        <v>4.912</v>
      </c>
      <c r="M54" s="144">
        <v>6.474</v>
      </c>
      <c r="N54" s="144">
        <v>8.144</v>
      </c>
      <c r="O54" s="144">
        <v>10.496</v>
      </c>
      <c r="P54" s="144">
        <v>12.32</v>
      </c>
      <c r="Q54" s="181">
        <v>14.207</v>
      </c>
      <c r="R54" s="181"/>
      <c r="AO54" s="320" t="s">
        <v>894</v>
      </c>
      <c r="AP54" s="320" t="s">
        <v>901</v>
      </c>
      <c r="AQ54" s="77">
        <f>AQ38</f>
        <v>0.07</v>
      </c>
      <c r="AR54" s="107">
        <f>AR50</f>
        <v>1925.3948557825</v>
      </c>
    </row>
    <row r="55" spans="1:44" ht="15.75">
      <c r="A55" s="40" t="s">
        <v>724</v>
      </c>
      <c r="B55" s="48" t="s">
        <v>722</v>
      </c>
      <c r="C55" s="144">
        <v>111.8</v>
      </c>
      <c r="D55" s="48">
        <v>1</v>
      </c>
      <c r="F55" s="178"/>
      <c r="G55" s="188"/>
      <c r="H55" s="179">
        <v>48</v>
      </c>
      <c r="I55" s="144" t="s">
        <v>631</v>
      </c>
      <c r="J55" s="144">
        <v>0.8677</v>
      </c>
      <c r="K55" s="144">
        <v>1.6314</v>
      </c>
      <c r="L55" s="144">
        <v>3.616</v>
      </c>
      <c r="M55" s="144"/>
      <c r="N55" s="144"/>
      <c r="O55" s="144"/>
      <c r="P55" s="144"/>
      <c r="Q55" s="181"/>
      <c r="R55" s="193"/>
      <c r="AO55" s="320"/>
      <c r="AP55" s="320"/>
      <c r="AQ55" s="107">
        <f>AQ54</f>
        <v>0.07</v>
      </c>
      <c r="AR55" s="182">
        <f>AR54+$AE$9</f>
        <v>2167.9988557825</v>
      </c>
    </row>
    <row r="56" spans="1:44" ht="12.75">
      <c r="A56" s="40" t="s">
        <v>724</v>
      </c>
      <c r="B56" s="48" t="s">
        <v>723</v>
      </c>
      <c r="C56" s="48">
        <v>423</v>
      </c>
      <c r="D56" s="48">
        <v>1</v>
      </c>
      <c r="F56" s="178"/>
      <c r="G56" s="106">
        <v>50</v>
      </c>
      <c r="H56" s="179">
        <v>58</v>
      </c>
      <c r="I56" s="144" t="s">
        <v>634</v>
      </c>
      <c r="J56" s="144">
        <v>0.528</v>
      </c>
      <c r="K56" s="144">
        <v>1.047</v>
      </c>
      <c r="L56" s="144">
        <v>1.949</v>
      </c>
      <c r="M56" s="144">
        <v>3.543</v>
      </c>
      <c r="N56" s="144"/>
      <c r="O56" s="144"/>
      <c r="P56" s="144"/>
      <c r="Q56" s="181"/>
      <c r="R56" s="181"/>
      <c r="AO56" s="58" t="s">
        <v>924</v>
      </c>
      <c r="AP56" s="58" t="s">
        <v>925</v>
      </c>
      <c r="AQ56" s="107">
        <f>AQ54+0.007</f>
        <v>0.07700000000000001</v>
      </c>
      <c r="AR56" s="107">
        <f>AR54+(AR55-AR54)/2</f>
        <v>2046.6968557824998</v>
      </c>
    </row>
    <row r="57" spans="1:44" ht="12.75">
      <c r="A57" s="40" t="s">
        <v>724</v>
      </c>
      <c r="B57" s="48" t="s">
        <v>721</v>
      </c>
      <c r="D57" s="48">
        <v>1</v>
      </c>
      <c r="F57" s="178"/>
      <c r="H57" s="179">
        <v>98</v>
      </c>
      <c r="I57" s="144" t="s">
        <v>710</v>
      </c>
      <c r="J57" s="144">
        <v>0.608</v>
      </c>
      <c r="K57" s="144">
        <v>1.21</v>
      </c>
      <c r="L57" s="185">
        <v>2.28</v>
      </c>
      <c r="M57" s="144"/>
      <c r="N57" s="144"/>
      <c r="O57" s="144"/>
      <c r="P57" s="144"/>
      <c r="Q57" s="181"/>
      <c r="R57" s="181"/>
      <c r="AO57" s="321" t="s">
        <v>895</v>
      </c>
      <c r="AP57" s="321" t="s">
        <v>996</v>
      </c>
      <c r="AQ57" s="77">
        <f>$AQ$33</f>
        <v>0.05</v>
      </c>
      <c r="AR57" s="77">
        <f>AR55</f>
        <v>2167.9988557825</v>
      </c>
    </row>
    <row r="58" spans="1:44" ht="12.75">
      <c r="A58" s="40" t="s">
        <v>725</v>
      </c>
      <c r="B58" s="48" t="s">
        <v>730</v>
      </c>
      <c r="C58" s="48">
        <v>121.302</v>
      </c>
      <c r="D58" s="48">
        <v>2</v>
      </c>
      <c r="F58" s="183"/>
      <c r="G58" s="106">
        <v>348.6</v>
      </c>
      <c r="H58" s="179">
        <v>17</v>
      </c>
      <c r="I58" s="144" t="s">
        <v>578</v>
      </c>
      <c r="J58" s="144">
        <v>1.2511</v>
      </c>
      <c r="K58" s="144">
        <v>2.297</v>
      </c>
      <c r="L58" s="144">
        <v>3.822</v>
      </c>
      <c r="M58" s="144">
        <v>5.158</v>
      </c>
      <c r="N58" s="144">
        <v>6.54</v>
      </c>
      <c r="O58" s="144">
        <v>9.362</v>
      </c>
      <c r="P58" s="144">
        <v>11.0182</v>
      </c>
      <c r="Q58" s="181">
        <v>33.605</v>
      </c>
      <c r="R58" s="193"/>
      <c r="AO58" s="321"/>
      <c r="AP58" s="321"/>
      <c r="AQ58" s="194">
        <f>IF(AU65,$AQ$34,AT62)</f>
        <v>0.45</v>
      </c>
      <c r="AR58" s="77">
        <f>AR57</f>
        <v>2167.9988557825</v>
      </c>
    </row>
    <row r="59" spans="1:44" ht="14.25">
      <c r="A59" s="40" t="s">
        <v>724</v>
      </c>
      <c r="B59" s="48" t="s">
        <v>721</v>
      </c>
      <c r="D59" s="48">
        <v>1</v>
      </c>
      <c r="F59" s="178"/>
      <c r="H59" s="179">
        <v>96</v>
      </c>
      <c r="I59" s="144" t="s">
        <v>708</v>
      </c>
      <c r="J59" s="144">
        <v>0.581</v>
      </c>
      <c r="K59" s="190">
        <v>1.2</v>
      </c>
      <c r="L59" s="185">
        <v>2.05</v>
      </c>
      <c r="M59" s="144"/>
      <c r="N59" s="144"/>
      <c r="O59" s="144"/>
      <c r="P59" s="144"/>
      <c r="Q59" s="181"/>
      <c r="R59" s="181"/>
      <c r="AO59" s="63" t="s">
        <v>893</v>
      </c>
      <c r="AP59" s="58" t="s">
        <v>548</v>
      </c>
      <c r="AQ59" s="195">
        <f>AQ60-$AT$61</f>
        <v>0.225</v>
      </c>
      <c r="AR59" s="107">
        <f>AR55+$AV$34</f>
        <v>2279.9367573655413</v>
      </c>
    </row>
    <row r="60" spans="1:44" ht="12.75">
      <c r="A60" s="40" t="s">
        <v>724</v>
      </c>
      <c r="B60" s="48" t="s">
        <v>730</v>
      </c>
      <c r="C60" s="48">
        <v>426.7</v>
      </c>
      <c r="D60" s="48">
        <v>1</v>
      </c>
      <c r="F60" s="183"/>
      <c r="G60" s="106">
        <v>63.9</v>
      </c>
      <c r="H60" s="179">
        <v>27</v>
      </c>
      <c r="I60" s="144" t="s">
        <v>594</v>
      </c>
      <c r="J60" s="144">
        <v>0.758</v>
      </c>
      <c r="K60" s="144">
        <v>1.646</v>
      </c>
      <c r="L60" s="144">
        <v>3.232</v>
      </c>
      <c r="M60" s="144">
        <v>4.95</v>
      </c>
      <c r="N60" s="144">
        <v>7.67</v>
      </c>
      <c r="O60" s="144">
        <v>9.84</v>
      </c>
      <c r="P60" s="144">
        <v>12.4</v>
      </c>
      <c r="Q60" s="181">
        <v>15.1</v>
      </c>
      <c r="R60" s="181"/>
      <c r="AO60" s="63"/>
      <c r="AP60" s="58"/>
      <c r="AQ60" s="195">
        <f>IF(AU65,AQ51,(AQ57+AQ58)/2)</f>
        <v>0.25</v>
      </c>
      <c r="AR60" s="107">
        <f>AR59</f>
        <v>2279.9367573655413</v>
      </c>
    </row>
    <row r="61" spans="1:47" ht="12.75">
      <c r="A61" s="40" t="s">
        <v>724</v>
      </c>
      <c r="B61" s="48" t="s">
        <v>730</v>
      </c>
      <c r="C61" s="48">
        <v>397.48</v>
      </c>
      <c r="D61" s="48">
        <v>1</v>
      </c>
      <c r="F61" s="183"/>
      <c r="G61" s="106">
        <v>65.1</v>
      </c>
      <c r="H61" s="179">
        <v>24</v>
      </c>
      <c r="I61" s="144" t="s">
        <v>582</v>
      </c>
      <c r="J61" s="144">
        <v>0.6528</v>
      </c>
      <c r="K61" s="144">
        <v>1.496</v>
      </c>
      <c r="L61" s="144">
        <v>2.987</v>
      </c>
      <c r="M61" s="144">
        <v>4.74</v>
      </c>
      <c r="N61" s="144">
        <v>6.69</v>
      </c>
      <c r="O61" s="144">
        <v>8.738</v>
      </c>
      <c r="P61" s="144">
        <v>15.54</v>
      </c>
      <c r="Q61" s="181">
        <v>17.82</v>
      </c>
      <c r="R61" s="181"/>
      <c r="AQ61" s="196">
        <f>AQ60+$AT$61</f>
        <v>0.275</v>
      </c>
      <c r="AR61" s="107">
        <f>AR59</f>
        <v>2279.9367573655413</v>
      </c>
      <c r="AT61" s="162">
        <v>0.025</v>
      </c>
      <c r="AU61" s="71" t="s">
        <v>869</v>
      </c>
    </row>
    <row r="62" spans="1:47" ht="12.75">
      <c r="A62" s="40" t="s">
        <v>724</v>
      </c>
      <c r="B62" s="48" t="s">
        <v>730</v>
      </c>
      <c r="C62" s="48">
        <v>78</v>
      </c>
      <c r="D62" s="48">
        <v>1</v>
      </c>
      <c r="F62" s="178"/>
      <c r="G62" s="106">
        <v>45.505</v>
      </c>
      <c r="H62" s="179">
        <v>55</v>
      </c>
      <c r="I62" s="144" t="s">
        <v>577</v>
      </c>
      <c r="J62" s="144">
        <v>0.3757</v>
      </c>
      <c r="K62" s="144">
        <v>2.23</v>
      </c>
      <c r="L62" s="198">
        <v>3.4</v>
      </c>
      <c r="M62" s="144"/>
      <c r="N62" s="144"/>
      <c r="O62" s="144"/>
      <c r="P62" s="144"/>
      <c r="Q62" s="181"/>
      <c r="R62" s="191"/>
      <c r="AO62" s="320" t="s">
        <v>894</v>
      </c>
      <c r="AP62" s="320" t="s">
        <v>902</v>
      </c>
      <c r="AQ62" s="194">
        <f>IF(AU65,AQ46,AT64)</f>
        <v>0.43</v>
      </c>
      <c r="AR62" s="107">
        <f>AR55</f>
        <v>2167.9988557825</v>
      </c>
      <c r="AT62" s="162">
        <v>0.45</v>
      </c>
      <c r="AU62" s="48" t="s">
        <v>871</v>
      </c>
    </row>
    <row r="63" spans="1:47" ht="12.75">
      <c r="A63" s="40" t="s">
        <v>724</v>
      </c>
      <c r="B63" s="48" t="s">
        <v>730</v>
      </c>
      <c r="C63" s="48">
        <v>337.6</v>
      </c>
      <c r="D63" s="48">
        <v>1</v>
      </c>
      <c r="F63" s="183"/>
      <c r="G63" s="106">
        <v>119.2</v>
      </c>
      <c r="H63" s="179">
        <v>29</v>
      </c>
      <c r="I63" s="144" t="s">
        <v>605</v>
      </c>
      <c r="J63" s="144">
        <v>0.7455</v>
      </c>
      <c r="K63" s="144">
        <v>1.9579</v>
      </c>
      <c r="L63" s="144">
        <v>3.554</v>
      </c>
      <c r="M63" s="144">
        <v>5.33</v>
      </c>
      <c r="N63" s="144">
        <v>7.71</v>
      </c>
      <c r="O63" s="144">
        <v>9.94</v>
      </c>
      <c r="P63" s="144">
        <v>13.4</v>
      </c>
      <c r="Q63" s="199">
        <v>16</v>
      </c>
      <c r="R63" s="181"/>
      <c r="AO63" s="320"/>
      <c r="AP63" s="320"/>
      <c r="AQ63" s="107">
        <f>AQ62</f>
        <v>0.43</v>
      </c>
      <c r="AR63" s="182">
        <f>AR62+$AE$10</f>
        <v>1458.404</v>
      </c>
      <c r="AT63" s="162">
        <v>0.3</v>
      </c>
      <c r="AU63" s="48" t="s">
        <v>870</v>
      </c>
    </row>
    <row r="64" spans="1:47" ht="12.75">
      <c r="A64" s="40" t="s">
        <v>724</v>
      </c>
      <c r="B64" s="48" t="s">
        <v>723</v>
      </c>
      <c r="C64" s="48">
        <v>290</v>
      </c>
      <c r="D64" s="48">
        <v>1</v>
      </c>
      <c r="F64" s="178"/>
      <c r="G64" s="106">
        <v>50</v>
      </c>
      <c r="H64" s="179">
        <v>66</v>
      </c>
      <c r="I64" s="144" t="s">
        <v>682</v>
      </c>
      <c r="J64" s="144">
        <v>0.572</v>
      </c>
      <c r="K64" s="144">
        <v>1.126</v>
      </c>
      <c r="L64" s="190">
        <v>2.2</v>
      </c>
      <c r="M64" s="190">
        <v>4</v>
      </c>
      <c r="N64" s="180">
        <v>5.99</v>
      </c>
      <c r="O64" s="144"/>
      <c r="P64" s="144"/>
      <c r="Q64" s="181"/>
      <c r="R64" s="181"/>
      <c r="AO64" s="58" t="s">
        <v>924</v>
      </c>
      <c r="AP64" s="58" t="s">
        <v>927</v>
      </c>
      <c r="AQ64" s="194">
        <f>IF(AU65,AQ62-0.045,AQ62)</f>
        <v>0.43</v>
      </c>
      <c r="AR64" s="107">
        <f>AR62+(AR63-AR62)/2</f>
        <v>1813.20142789125</v>
      </c>
      <c r="AS64" s="200"/>
      <c r="AT64" s="162">
        <f>AT62-0.02</f>
        <v>0.43</v>
      </c>
      <c r="AU64" s="48" t="s">
        <v>872</v>
      </c>
    </row>
    <row r="65" spans="1:47" ht="12.75">
      <c r="A65" s="40" t="s">
        <v>724</v>
      </c>
      <c r="B65" s="48" t="s">
        <v>723</v>
      </c>
      <c r="C65" s="48">
        <v>317</v>
      </c>
      <c r="D65" s="48">
        <v>1</v>
      </c>
      <c r="F65" s="178"/>
      <c r="G65" s="106">
        <v>50</v>
      </c>
      <c r="H65" s="179">
        <v>68</v>
      </c>
      <c r="I65" s="144" t="s">
        <v>684</v>
      </c>
      <c r="J65" s="144">
        <v>0.589</v>
      </c>
      <c r="K65" s="144">
        <v>1.151</v>
      </c>
      <c r="L65" s="144">
        <v>2.19</v>
      </c>
      <c r="M65" s="144">
        <v>4.11</v>
      </c>
      <c r="N65" s="144">
        <v>6.282</v>
      </c>
      <c r="O65" s="144"/>
      <c r="P65" s="144"/>
      <c r="Q65" s="181"/>
      <c r="R65" s="181"/>
      <c r="AO65" s="320" t="s">
        <v>895</v>
      </c>
      <c r="AP65" s="320" t="s">
        <v>997</v>
      </c>
      <c r="AQ65" s="194">
        <f>IF(AU65,AQ33,AT63)</f>
        <v>0.3</v>
      </c>
      <c r="AR65" s="107">
        <f>AR63</f>
        <v>1458.404</v>
      </c>
      <c r="AT65" s="58" t="s">
        <v>896</v>
      </c>
      <c r="AU65" s="196" t="b">
        <f>IF(AE10&gt;0,TRUE,FALSE)</f>
        <v>0</v>
      </c>
    </row>
    <row r="66" spans="1:44" ht="12.75">
      <c r="A66" s="40" t="s">
        <v>724</v>
      </c>
      <c r="B66" s="48" t="s">
        <v>721</v>
      </c>
      <c r="D66" s="48">
        <v>1</v>
      </c>
      <c r="F66" s="178"/>
      <c r="H66" s="179">
        <v>99</v>
      </c>
      <c r="I66" s="144" t="s">
        <v>711</v>
      </c>
      <c r="J66" s="144">
        <v>0.619</v>
      </c>
      <c r="K66" s="144">
        <v>1.22</v>
      </c>
      <c r="L66" s="185">
        <v>2.33</v>
      </c>
      <c r="M66" s="144"/>
      <c r="N66" s="144"/>
      <c r="O66" s="144"/>
      <c r="P66" s="144"/>
      <c r="Q66" s="181"/>
      <c r="R66" s="181"/>
      <c r="AO66" s="320"/>
      <c r="AP66" s="320"/>
      <c r="AQ66" s="201">
        <f>AT62</f>
        <v>0.45</v>
      </c>
      <c r="AR66" s="107">
        <f>AR65</f>
        <v>1458.404</v>
      </c>
    </row>
    <row r="67" spans="1:44" ht="14.25">
      <c r="A67" s="40" t="s">
        <v>724</v>
      </c>
      <c r="B67" s="48" t="s">
        <v>723</v>
      </c>
      <c r="C67" s="48">
        <v>175</v>
      </c>
      <c r="D67" s="48">
        <v>1</v>
      </c>
      <c r="F67" s="178"/>
      <c r="G67" s="106">
        <v>50</v>
      </c>
      <c r="H67" s="179">
        <v>63</v>
      </c>
      <c r="I67" s="144" t="s">
        <v>619</v>
      </c>
      <c r="J67" s="144">
        <v>0.547</v>
      </c>
      <c r="K67" s="144">
        <v>1.085</v>
      </c>
      <c r="L67" s="190">
        <v>2.4</v>
      </c>
      <c r="M67" s="144">
        <v>4.11</v>
      </c>
      <c r="N67" s="144">
        <v>6.101</v>
      </c>
      <c r="O67" s="144"/>
      <c r="P67" s="144"/>
      <c r="Q67" s="181"/>
      <c r="R67" s="181"/>
      <c r="AO67" s="63" t="s">
        <v>893</v>
      </c>
      <c r="AP67" s="58" t="s">
        <v>549</v>
      </c>
      <c r="AQ67" s="194">
        <f>AQ68-AT61</f>
        <v>0.365</v>
      </c>
      <c r="AR67" s="77">
        <f>AR66+$AV$34</f>
        <v>1570.3419015830416</v>
      </c>
    </row>
    <row r="68" spans="1:44" ht="12.75">
      <c r="A68" s="40" t="s">
        <v>725</v>
      </c>
      <c r="B68" s="48" t="s">
        <v>730</v>
      </c>
      <c r="C68" s="48">
        <v>79.38</v>
      </c>
      <c r="D68" s="48">
        <v>2</v>
      </c>
      <c r="F68" s="192"/>
      <c r="G68" s="106">
        <v>328.17</v>
      </c>
      <c r="H68" s="179">
        <v>9</v>
      </c>
      <c r="I68" s="144" t="s">
        <v>602</v>
      </c>
      <c r="J68" s="184">
        <v>1.681</v>
      </c>
      <c r="K68" s="144">
        <v>3.3742</v>
      </c>
      <c r="L68" s="144">
        <v>6.0504</v>
      </c>
      <c r="M68" s="144">
        <v>8.4077</v>
      </c>
      <c r="N68" s="144">
        <v>11.0227</v>
      </c>
      <c r="O68" s="184">
        <v>15.164</v>
      </c>
      <c r="P68" s="144">
        <v>17.8677</v>
      </c>
      <c r="Q68" s="181">
        <v>92.0378</v>
      </c>
      <c r="R68" s="181"/>
      <c r="AO68" s="63"/>
      <c r="AP68" s="58"/>
      <c r="AQ68" s="194">
        <f>IF(AU65,(AQ65+AQ66)/2,AQ65+0.09)</f>
        <v>0.39</v>
      </c>
      <c r="AR68" s="107">
        <f>AR67</f>
        <v>1570.3419015830416</v>
      </c>
    </row>
    <row r="69" spans="1:46" ht="12.75">
      <c r="A69" s="40" t="s">
        <v>724</v>
      </c>
      <c r="B69" s="48" t="s">
        <v>730</v>
      </c>
      <c r="C69" s="48">
        <v>415.5</v>
      </c>
      <c r="D69" s="48">
        <v>1</v>
      </c>
      <c r="F69" s="183"/>
      <c r="G69" s="106">
        <v>14.6</v>
      </c>
      <c r="H69" s="179">
        <v>26</v>
      </c>
      <c r="I69" s="144" t="s">
        <v>585</v>
      </c>
      <c r="J69" s="144">
        <v>0.7594</v>
      </c>
      <c r="K69" s="144">
        <v>1.561</v>
      </c>
      <c r="L69" s="144">
        <v>2.9574</v>
      </c>
      <c r="M69" s="144">
        <v>5.29</v>
      </c>
      <c r="N69" s="144">
        <v>7.24</v>
      </c>
      <c r="O69" s="144">
        <v>9.6</v>
      </c>
      <c r="P69" s="144">
        <v>12.1</v>
      </c>
      <c r="Q69" s="181">
        <v>14.575</v>
      </c>
      <c r="R69" s="181"/>
      <c r="AQ69" s="194">
        <f>AQ68+AT61</f>
        <v>0.41500000000000004</v>
      </c>
      <c r="AR69" s="107">
        <f>AR67</f>
        <v>1570.3419015830416</v>
      </c>
      <c r="AT69" s="202"/>
    </row>
    <row r="70" spans="1:44" ht="12.75">
      <c r="A70" s="40" t="s">
        <v>724</v>
      </c>
      <c r="B70" s="48" t="s">
        <v>721</v>
      </c>
      <c r="D70" s="48">
        <v>1</v>
      </c>
      <c r="F70" s="178"/>
      <c r="H70" s="179">
        <v>100</v>
      </c>
      <c r="I70" s="144" t="s">
        <v>712</v>
      </c>
      <c r="J70" s="144">
        <v>0.627</v>
      </c>
      <c r="K70" s="144">
        <v>1.23</v>
      </c>
      <c r="L70" s="185">
        <v>2.34</v>
      </c>
      <c r="M70" s="144"/>
      <c r="N70" s="144"/>
      <c r="O70" s="144"/>
      <c r="P70" s="144"/>
      <c r="Q70" s="181"/>
      <c r="R70" s="181"/>
      <c r="AO70" s="320" t="s">
        <v>894</v>
      </c>
      <c r="AP70" s="320" t="s">
        <v>903</v>
      </c>
      <c r="AQ70" s="162">
        <v>0.425</v>
      </c>
      <c r="AR70" s="107">
        <f>AR66</f>
        <v>1458.404</v>
      </c>
    </row>
    <row r="71" spans="1:44" ht="12.75">
      <c r="A71" s="40" t="s">
        <v>724</v>
      </c>
      <c r="B71" s="48" t="s">
        <v>721</v>
      </c>
      <c r="D71" s="48">
        <v>1</v>
      </c>
      <c r="F71" s="178"/>
      <c r="H71" s="179">
        <v>87</v>
      </c>
      <c r="I71" s="144" t="s">
        <v>702</v>
      </c>
      <c r="J71" s="203">
        <v>0.4</v>
      </c>
      <c r="K71" s="144">
        <v>2.1</v>
      </c>
      <c r="L71" s="185">
        <v>3.1</v>
      </c>
      <c r="M71" s="144"/>
      <c r="N71" s="144"/>
      <c r="O71" s="144"/>
      <c r="P71" s="144"/>
      <c r="Q71" s="181"/>
      <c r="R71" s="181"/>
      <c r="AO71" s="320"/>
      <c r="AP71" s="320"/>
      <c r="AQ71" s="107">
        <f>AQ70</f>
        <v>0.425</v>
      </c>
      <c r="AR71" s="204">
        <f>AR70+$AE$11</f>
        <v>-630.4486837935392</v>
      </c>
    </row>
    <row r="72" spans="1:44" ht="12.75">
      <c r="A72" s="40" t="s">
        <v>724</v>
      </c>
      <c r="B72" s="48" t="s">
        <v>730</v>
      </c>
      <c r="C72" s="48">
        <v>271.96</v>
      </c>
      <c r="D72" s="48">
        <v>1</v>
      </c>
      <c r="F72" s="186"/>
      <c r="G72" s="106">
        <v>29</v>
      </c>
      <c r="H72" s="179">
        <v>31</v>
      </c>
      <c r="I72" s="144" t="s">
        <v>642</v>
      </c>
      <c r="J72" s="144">
        <v>0.5788</v>
      </c>
      <c r="K72" s="144">
        <v>1.979</v>
      </c>
      <c r="L72" s="144">
        <v>2.963</v>
      </c>
      <c r="M72" s="144">
        <v>6.2</v>
      </c>
      <c r="N72" s="144"/>
      <c r="O72" s="144"/>
      <c r="P72" s="144"/>
      <c r="Q72" s="181"/>
      <c r="R72" s="181"/>
      <c r="AO72" s="58" t="s">
        <v>924</v>
      </c>
      <c r="AP72" s="58" t="s">
        <v>928</v>
      </c>
      <c r="AQ72" s="107">
        <f>AQ70-0.007</f>
        <v>0.418</v>
      </c>
      <c r="AR72" s="107">
        <f>AR70+(AR71-AR70)/2</f>
        <v>413.9776581032304</v>
      </c>
    </row>
    <row r="73" spans="1:44" ht="12.75">
      <c r="A73" s="40" t="s">
        <v>724</v>
      </c>
      <c r="B73" s="48" t="s">
        <v>723</v>
      </c>
      <c r="C73" s="48">
        <v>397</v>
      </c>
      <c r="D73" s="48">
        <v>1</v>
      </c>
      <c r="F73" s="178"/>
      <c r="G73" s="106">
        <v>50</v>
      </c>
      <c r="H73" s="179">
        <v>64</v>
      </c>
      <c r="I73" s="144" t="s">
        <v>680</v>
      </c>
      <c r="J73" s="144">
        <v>0.592</v>
      </c>
      <c r="K73" s="144">
        <v>1.17</v>
      </c>
      <c r="L73" s="144">
        <v>1.99</v>
      </c>
      <c r="M73" s="144">
        <v>4.24</v>
      </c>
      <c r="N73" s="144">
        <v>6.249</v>
      </c>
      <c r="O73" s="144"/>
      <c r="P73" s="144"/>
      <c r="Q73" s="181"/>
      <c r="R73" s="181"/>
      <c r="AO73" s="320" t="s">
        <v>895</v>
      </c>
      <c r="AP73" s="320" t="s">
        <v>998</v>
      </c>
      <c r="AQ73" s="107">
        <f>AT63</f>
        <v>0.3</v>
      </c>
      <c r="AR73" s="107">
        <f>AR71</f>
        <v>-630.4486837935392</v>
      </c>
    </row>
    <row r="74" spans="1:44" ht="12.75">
      <c r="A74" s="40" t="s">
        <v>724</v>
      </c>
      <c r="B74" s="48" t="s">
        <v>722</v>
      </c>
      <c r="C74" s="144">
        <v>372</v>
      </c>
      <c r="D74" s="48">
        <v>1</v>
      </c>
      <c r="F74" s="183"/>
      <c r="G74" s="106">
        <v>119</v>
      </c>
      <c r="H74" s="179">
        <v>32</v>
      </c>
      <c r="I74" s="144" t="s">
        <v>586</v>
      </c>
      <c r="J74" s="144">
        <v>0.7622</v>
      </c>
      <c r="K74" s="144">
        <v>1.5372</v>
      </c>
      <c r="L74" s="144">
        <v>3.302</v>
      </c>
      <c r="M74" s="180">
        <v>4.41</v>
      </c>
      <c r="N74" s="144">
        <v>9.02</v>
      </c>
      <c r="O74" s="144"/>
      <c r="P74" s="144"/>
      <c r="Q74" s="181"/>
      <c r="R74" s="181"/>
      <c r="AO74" s="320"/>
      <c r="AP74" s="320"/>
      <c r="AQ74" s="107">
        <f>$AT$62</f>
        <v>0.45</v>
      </c>
      <c r="AR74" s="107">
        <f>AR73</f>
        <v>-630.4486837935392</v>
      </c>
    </row>
    <row r="75" spans="1:44" ht="12.75">
      <c r="A75" s="40" t="s">
        <v>725</v>
      </c>
      <c r="B75" s="48" t="s">
        <v>730</v>
      </c>
      <c r="C75" s="48">
        <v>217.999</v>
      </c>
      <c r="D75" s="48">
        <v>2</v>
      </c>
      <c r="F75" s="189"/>
      <c r="G75" s="163">
        <v>72.768</v>
      </c>
      <c r="H75" s="179">
        <v>1</v>
      </c>
      <c r="I75" s="144" t="s">
        <v>606</v>
      </c>
      <c r="J75" s="205">
        <v>1.3121</v>
      </c>
      <c r="R75" s="181"/>
      <c r="AO75" s="63" t="s">
        <v>893</v>
      </c>
      <c r="AP75" s="58" t="s">
        <v>746</v>
      </c>
      <c r="AQ75" s="107">
        <f>AQ73+0.07</f>
        <v>0.37</v>
      </c>
      <c r="AR75" s="107">
        <f>AR74+$AV$34</f>
        <v>-518.5107822104976</v>
      </c>
    </row>
    <row r="76" spans="1:44" ht="12.75">
      <c r="A76" s="40" t="s">
        <v>725</v>
      </c>
      <c r="C76" s="48">
        <v>0</v>
      </c>
      <c r="D76" s="48">
        <v>1</v>
      </c>
      <c r="F76" s="189"/>
      <c r="H76" s="179">
        <v>2</v>
      </c>
      <c r="I76" s="144" t="s">
        <v>656</v>
      </c>
      <c r="J76" s="144">
        <v>2.37232</v>
      </c>
      <c r="K76" s="144">
        <v>5.2504</v>
      </c>
      <c r="L76" s="144"/>
      <c r="M76" s="144"/>
      <c r="N76" s="144"/>
      <c r="O76" s="144"/>
      <c r="P76" s="144"/>
      <c r="Q76" s="181"/>
      <c r="R76" s="181"/>
      <c r="AO76" s="320" t="s">
        <v>894</v>
      </c>
      <c r="AP76" s="320" t="s">
        <v>904</v>
      </c>
      <c r="AQ76" s="77">
        <f>AQ34</f>
        <v>0.2</v>
      </c>
      <c r="AR76" s="107">
        <f>AR34</f>
        <v>0</v>
      </c>
    </row>
    <row r="77" spans="1:44" ht="15.75">
      <c r="A77" s="40" t="s">
        <v>724</v>
      </c>
      <c r="B77" s="48" t="s">
        <v>730</v>
      </c>
      <c r="C77" s="48">
        <v>618.4</v>
      </c>
      <c r="D77" s="48">
        <v>1</v>
      </c>
      <c r="F77" s="178"/>
      <c r="G77" s="188"/>
      <c r="H77" s="179">
        <v>72</v>
      </c>
      <c r="I77" s="144" t="s">
        <v>612</v>
      </c>
      <c r="J77" s="144">
        <v>0.654</v>
      </c>
      <c r="K77" s="144">
        <v>1.44</v>
      </c>
      <c r="L77" s="144">
        <v>2.25</v>
      </c>
      <c r="M77" s="144">
        <v>3.21</v>
      </c>
      <c r="N77" s="144">
        <v>6.596</v>
      </c>
      <c r="O77" s="144"/>
      <c r="P77" s="144"/>
      <c r="Q77" s="181"/>
      <c r="R77" s="181"/>
      <c r="AO77" s="320"/>
      <c r="AP77" s="320"/>
      <c r="AQ77" s="107">
        <f>AQ73</f>
        <v>0.3</v>
      </c>
      <c r="AR77" s="107">
        <f>AR73</f>
        <v>-630.4486837935392</v>
      </c>
    </row>
    <row r="78" spans="1:18" ht="15.75">
      <c r="A78" s="40" t="s">
        <v>990</v>
      </c>
      <c r="B78" s="48" t="s">
        <v>730</v>
      </c>
      <c r="C78" s="48">
        <v>61.38</v>
      </c>
      <c r="D78" s="48">
        <v>1</v>
      </c>
      <c r="F78" s="178"/>
      <c r="G78" s="188"/>
      <c r="H78" s="179">
        <v>80</v>
      </c>
      <c r="I78" s="144" t="s">
        <v>636</v>
      </c>
      <c r="J78" s="184">
        <v>1.007</v>
      </c>
      <c r="K78" s="144">
        <v>1.8097</v>
      </c>
      <c r="L78" s="190">
        <v>3.3</v>
      </c>
      <c r="M78" s="144"/>
      <c r="N78" s="144"/>
      <c r="O78" s="144"/>
      <c r="P78" s="144"/>
      <c r="Q78" s="181"/>
      <c r="R78" s="181"/>
    </row>
    <row r="79" spans="1:18" ht="12.75">
      <c r="A79" s="40" t="s">
        <v>724</v>
      </c>
      <c r="B79" s="48" t="s">
        <v>723</v>
      </c>
      <c r="C79" s="48">
        <v>301</v>
      </c>
      <c r="D79" s="48">
        <v>1</v>
      </c>
      <c r="F79" s="178"/>
      <c r="G79" s="106">
        <v>50</v>
      </c>
      <c r="H79" s="179">
        <v>67</v>
      </c>
      <c r="I79" s="144" t="s">
        <v>683</v>
      </c>
      <c r="J79" s="144">
        <v>0.581</v>
      </c>
      <c r="K79" s="144">
        <v>1.139</v>
      </c>
      <c r="L79" s="190">
        <v>2.2</v>
      </c>
      <c r="M79" s="190">
        <v>4.1</v>
      </c>
      <c r="N79" s="144">
        <v>6.169</v>
      </c>
      <c r="O79" s="144"/>
      <c r="P79" s="144"/>
      <c r="Q79" s="181"/>
      <c r="R79" s="181"/>
    </row>
    <row r="80" spans="1:18" ht="12.75">
      <c r="A80" s="40" t="s">
        <v>724</v>
      </c>
      <c r="B80" s="48" t="s">
        <v>730</v>
      </c>
      <c r="C80" s="48">
        <v>106.76</v>
      </c>
      <c r="D80" s="48">
        <v>2</v>
      </c>
      <c r="F80" s="178"/>
      <c r="G80" s="106">
        <v>295.152</v>
      </c>
      <c r="H80" s="179">
        <v>53</v>
      </c>
      <c r="I80" s="144" t="s">
        <v>584</v>
      </c>
      <c r="J80" s="144">
        <v>1.0084</v>
      </c>
      <c r="K80" s="144">
        <v>1.8459</v>
      </c>
      <c r="L80" s="144">
        <v>3.2</v>
      </c>
      <c r="M80" s="144"/>
      <c r="N80" s="144"/>
      <c r="O80" s="144"/>
      <c r="P80" s="144"/>
      <c r="Q80" s="181"/>
      <c r="R80" s="181"/>
    </row>
    <row r="81" spans="1:18" ht="12.75">
      <c r="A81" s="40" t="s">
        <v>724</v>
      </c>
      <c r="B81" s="48" t="s">
        <v>730</v>
      </c>
      <c r="C81" s="48">
        <v>243.3</v>
      </c>
      <c r="D81" s="48">
        <v>1</v>
      </c>
      <c r="F81" s="186"/>
      <c r="G81" s="106">
        <v>29</v>
      </c>
      <c r="H81" s="179">
        <v>49</v>
      </c>
      <c r="I81" s="144" t="s">
        <v>632</v>
      </c>
      <c r="J81" s="144">
        <v>0.5583</v>
      </c>
      <c r="K81" s="144">
        <v>1.8206</v>
      </c>
      <c r="L81" s="144">
        <v>2.705</v>
      </c>
      <c r="M81" s="144">
        <v>5.2</v>
      </c>
      <c r="N81" s="144"/>
      <c r="O81" s="144"/>
      <c r="P81" s="144"/>
      <c r="Q81" s="181"/>
      <c r="R81" s="181"/>
    </row>
    <row r="82" spans="1:18" ht="12.75">
      <c r="A82" s="40" t="s">
        <v>724</v>
      </c>
      <c r="B82" s="48" t="s">
        <v>723</v>
      </c>
      <c r="C82" s="48">
        <v>665</v>
      </c>
      <c r="D82" s="48">
        <v>1</v>
      </c>
      <c r="F82" s="183"/>
      <c r="G82" s="106">
        <v>151</v>
      </c>
      <c r="H82" s="179">
        <v>77</v>
      </c>
      <c r="I82" s="144" t="s">
        <v>694</v>
      </c>
      <c r="J82" s="144">
        <v>0.88</v>
      </c>
      <c r="K82" s="144">
        <v>1.68</v>
      </c>
      <c r="L82" s="185">
        <v>2.6</v>
      </c>
      <c r="M82" s="144"/>
      <c r="N82" s="144"/>
      <c r="O82" s="144"/>
      <c r="P82" s="144"/>
      <c r="Q82" s="181"/>
      <c r="R82" s="181"/>
    </row>
    <row r="83" spans="1:18" ht="12.75">
      <c r="A83" s="40" t="s">
        <v>724</v>
      </c>
      <c r="B83" s="48" t="s">
        <v>730</v>
      </c>
      <c r="C83" s="48">
        <v>89</v>
      </c>
      <c r="D83" s="48">
        <v>1</v>
      </c>
      <c r="F83" s="178"/>
      <c r="G83" s="106">
        <v>48.384</v>
      </c>
      <c r="H83" s="179">
        <v>19</v>
      </c>
      <c r="I83" s="144" t="s">
        <v>609</v>
      </c>
      <c r="J83" s="144">
        <v>0.4189</v>
      </c>
      <c r="K83" s="144">
        <v>3.0514</v>
      </c>
      <c r="L83" s="144">
        <v>4.411</v>
      </c>
      <c r="M83" s="144">
        <v>5.877</v>
      </c>
      <c r="N83" s="144">
        <v>7.976</v>
      </c>
      <c r="O83" s="144">
        <v>9.649</v>
      </c>
      <c r="P83" s="144">
        <v>11.343</v>
      </c>
      <c r="Q83" s="181">
        <v>14.942</v>
      </c>
      <c r="R83" s="181"/>
    </row>
    <row r="84" spans="1:18" ht="12.75">
      <c r="A84" s="40" t="s">
        <v>725</v>
      </c>
      <c r="C84" s="48">
        <v>0</v>
      </c>
      <c r="D84" s="48">
        <v>1</v>
      </c>
      <c r="F84" s="178"/>
      <c r="G84" s="106">
        <v>-0.1</v>
      </c>
      <c r="H84" s="179">
        <v>36</v>
      </c>
      <c r="I84" s="144" t="s">
        <v>665</v>
      </c>
      <c r="J84" s="144">
        <v>1.3507</v>
      </c>
      <c r="K84" s="144">
        <v>2.3503</v>
      </c>
      <c r="L84" s="144">
        <v>3.565</v>
      </c>
      <c r="M84" s="144">
        <v>5.07</v>
      </c>
      <c r="N84" s="144">
        <v>6.24</v>
      </c>
      <c r="O84" s="144">
        <v>7.57</v>
      </c>
      <c r="P84" s="144">
        <v>10.71</v>
      </c>
      <c r="Q84" s="181">
        <v>12.2</v>
      </c>
      <c r="R84" s="181"/>
    </row>
    <row r="85" spans="1:18" ht="12.75">
      <c r="A85" s="40" t="s">
        <v>724</v>
      </c>
      <c r="B85" s="48" t="s">
        <v>723</v>
      </c>
      <c r="C85" s="48">
        <v>431</v>
      </c>
      <c r="D85" s="48">
        <v>1</v>
      </c>
      <c r="F85" s="178"/>
      <c r="G85" s="106">
        <v>48</v>
      </c>
      <c r="H85" s="179">
        <v>57</v>
      </c>
      <c r="I85" s="144" t="s">
        <v>676</v>
      </c>
      <c r="J85" s="144">
        <v>0.5381</v>
      </c>
      <c r="K85" s="144">
        <v>1.067</v>
      </c>
      <c r="L85" s="144">
        <v>1.8503</v>
      </c>
      <c r="M85" s="180">
        <v>4.82</v>
      </c>
      <c r="N85" s="144"/>
      <c r="O85" s="144"/>
      <c r="P85" s="144"/>
      <c r="Q85" s="181"/>
      <c r="R85" s="181"/>
    </row>
    <row r="86" spans="1:18" ht="12.75">
      <c r="A86" s="40" t="s">
        <v>724</v>
      </c>
      <c r="B86" s="48" t="s">
        <v>730</v>
      </c>
      <c r="C86" s="48">
        <v>159.3</v>
      </c>
      <c r="D86" s="48">
        <v>1</v>
      </c>
      <c r="F86" s="189"/>
      <c r="G86" s="106">
        <v>59.588</v>
      </c>
      <c r="H86" s="179">
        <v>3</v>
      </c>
      <c r="I86" s="144" t="s">
        <v>601</v>
      </c>
      <c r="J86" s="144">
        <v>0.5203</v>
      </c>
      <c r="K86" s="144">
        <v>7.2981</v>
      </c>
      <c r="L86" s="144">
        <v>11.8149</v>
      </c>
      <c r="M86" s="144"/>
      <c r="N86" s="144"/>
      <c r="O86" s="144"/>
      <c r="P86" s="144"/>
      <c r="Q86" s="181"/>
      <c r="R86" s="181"/>
    </row>
    <row r="87" spans="1:18" ht="12.75">
      <c r="A87" s="40" t="s">
        <v>724</v>
      </c>
      <c r="B87" s="48" t="s">
        <v>723</v>
      </c>
      <c r="C87" s="48">
        <v>428</v>
      </c>
      <c r="D87" s="48">
        <v>1</v>
      </c>
      <c r="F87" s="178"/>
      <c r="G87" s="106">
        <v>50</v>
      </c>
      <c r="H87" s="179">
        <v>71</v>
      </c>
      <c r="I87" s="144" t="s">
        <v>687</v>
      </c>
      <c r="J87" s="144">
        <v>0.5235</v>
      </c>
      <c r="K87" s="144">
        <v>1.34</v>
      </c>
      <c r="L87" s="144">
        <v>2.022</v>
      </c>
      <c r="M87" s="144">
        <v>4.36</v>
      </c>
      <c r="N87" s="144">
        <v>6.445</v>
      </c>
      <c r="O87" s="144"/>
      <c r="P87" s="144"/>
      <c r="Q87" s="181"/>
      <c r="R87" s="181"/>
    </row>
    <row r="88" spans="1:18" ht="12.75">
      <c r="A88" s="40" t="s">
        <v>724</v>
      </c>
      <c r="B88" s="48" t="s">
        <v>721</v>
      </c>
      <c r="D88" s="48">
        <v>1</v>
      </c>
      <c r="F88" s="178"/>
      <c r="H88" s="179">
        <v>101</v>
      </c>
      <c r="I88" s="144" t="s">
        <v>713</v>
      </c>
      <c r="J88" s="144">
        <v>0.635</v>
      </c>
      <c r="K88" s="144">
        <v>1.24</v>
      </c>
      <c r="L88" s="185">
        <v>2.45</v>
      </c>
      <c r="M88" s="144"/>
      <c r="N88" s="144"/>
      <c r="O88" s="144"/>
      <c r="P88" s="144"/>
      <c r="Q88" s="181"/>
      <c r="R88" s="181"/>
    </row>
    <row r="89" spans="1:18" ht="15.75">
      <c r="A89" s="40" t="s">
        <v>724</v>
      </c>
      <c r="B89" s="48" t="s">
        <v>730</v>
      </c>
      <c r="C89" s="48">
        <v>147.1</v>
      </c>
      <c r="D89" s="48">
        <v>1</v>
      </c>
      <c r="F89" s="178"/>
      <c r="G89" s="188"/>
      <c r="H89" s="179">
        <v>12</v>
      </c>
      <c r="I89" s="144" t="s">
        <v>618</v>
      </c>
      <c r="J89" s="144">
        <v>0.7377</v>
      </c>
      <c r="K89" s="144">
        <v>1.4507</v>
      </c>
      <c r="L89" s="144">
        <v>7.7328</v>
      </c>
      <c r="M89" s="180">
        <v>10.54</v>
      </c>
      <c r="N89" s="144">
        <v>13.628</v>
      </c>
      <c r="O89" s="144">
        <v>17.995</v>
      </c>
      <c r="P89" s="144">
        <v>21.704</v>
      </c>
      <c r="Q89" s="181">
        <v>25.656</v>
      </c>
      <c r="R89" s="181"/>
    </row>
    <row r="90" spans="1:18" ht="15.75">
      <c r="A90" s="40" t="s">
        <v>724</v>
      </c>
      <c r="B90" s="48" t="s">
        <v>730</v>
      </c>
      <c r="C90" s="48">
        <v>283.3</v>
      </c>
      <c r="D90" s="48">
        <v>1</v>
      </c>
      <c r="F90" s="178"/>
      <c r="G90" s="188"/>
      <c r="H90" s="179">
        <v>25</v>
      </c>
      <c r="I90" s="144" t="s">
        <v>604</v>
      </c>
      <c r="J90" s="144">
        <v>0.7174</v>
      </c>
      <c r="K90" s="144">
        <v>1.5091</v>
      </c>
      <c r="L90" s="144">
        <v>3.2484</v>
      </c>
      <c r="M90" s="144">
        <v>4.94</v>
      </c>
      <c r="N90" s="144">
        <v>6.99</v>
      </c>
      <c r="O90" s="144">
        <v>9.2</v>
      </c>
      <c r="P90" s="144">
        <v>11.508</v>
      </c>
      <c r="Q90" s="181">
        <v>18.956</v>
      </c>
      <c r="R90" s="181"/>
    </row>
    <row r="91" spans="1:18" ht="12.75">
      <c r="A91" s="40" t="s">
        <v>724</v>
      </c>
      <c r="B91" s="48" t="s">
        <v>730</v>
      </c>
      <c r="C91" s="48">
        <v>657.4</v>
      </c>
      <c r="D91" s="48">
        <v>1</v>
      </c>
      <c r="F91" s="183"/>
      <c r="G91" s="106">
        <v>72.1</v>
      </c>
      <c r="H91" s="179">
        <v>42</v>
      </c>
      <c r="I91" s="144" t="s">
        <v>666</v>
      </c>
      <c r="J91" s="184">
        <v>0.685</v>
      </c>
      <c r="K91" s="144">
        <v>1.558</v>
      </c>
      <c r="L91" s="144">
        <v>2.621</v>
      </c>
      <c r="M91" s="144">
        <v>4.477</v>
      </c>
      <c r="N91" s="144">
        <v>5.91</v>
      </c>
      <c r="O91" s="144">
        <v>6.6</v>
      </c>
      <c r="P91" s="144">
        <v>12.23</v>
      </c>
      <c r="Q91" s="181">
        <v>14.8</v>
      </c>
      <c r="R91" s="181"/>
    </row>
    <row r="92" spans="1:18" ht="12.75">
      <c r="A92" s="40" t="s">
        <v>725</v>
      </c>
      <c r="B92" s="48" t="s">
        <v>730</v>
      </c>
      <c r="C92" s="48">
        <v>472.68</v>
      </c>
      <c r="D92" s="48">
        <v>2</v>
      </c>
      <c r="E92" s="48">
        <v>-1070</v>
      </c>
      <c r="F92" s="186">
        <v>-673</v>
      </c>
      <c r="G92" s="106">
        <v>7</v>
      </c>
      <c r="H92" s="179">
        <v>7</v>
      </c>
      <c r="I92" s="144" t="s">
        <v>622</v>
      </c>
      <c r="J92" s="144">
        <v>1.4023</v>
      </c>
      <c r="K92" s="144">
        <v>2.8561</v>
      </c>
      <c r="L92" s="144">
        <v>4.5781</v>
      </c>
      <c r="M92" s="144">
        <v>7.4751</v>
      </c>
      <c r="N92" s="144">
        <v>9.4449</v>
      </c>
      <c r="O92" s="144">
        <v>53.2664</v>
      </c>
      <c r="P92" s="144">
        <v>64.3598</v>
      </c>
      <c r="Q92" s="181"/>
      <c r="R92" s="181"/>
    </row>
    <row r="93" spans="1:18" ht="12.75">
      <c r="A93" s="40" t="s">
        <v>724</v>
      </c>
      <c r="B93" s="48" t="s">
        <v>730</v>
      </c>
      <c r="C93" s="48">
        <v>107.3</v>
      </c>
      <c r="D93" s="48">
        <v>1</v>
      </c>
      <c r="F93" s="178"/>
      <c r="G93" s="106">
        <v>52.869</v>
      </c>
      <c r="H93" s="179">
        <v>11</v>
      </c>
      <c r="I93" s="144" t="s">
        <v>607</v>
      </c>
      <c r="J93" s="144">
        <v>0.4958</v>
      </c>
      <c r="K93" s="144">
        <v>4.5624</v>
      </c>
      <c r="L93" s="144">
        <v>6.912</v>
      </c>
      <c r="M93" s="144">
        <v>9.544</v>
      </c>
      <c r="N93" s="144">
        <v>13.353</v>
      </c>
      <c r="O93" s="180">
        <v>16.61</v>
      </c>
      <c r="P93" s="144">
        <v>20.115</v>
      </c>
      <c r="Q93" s="193">
        <v>25.49</v>
      </c>
      <c r="R93" s="181"/>
    </row>
    <row r="94" spans="1:18" ht="12.75">
      <c r="A94" s="40" t="s">
        <v>724</v>
      </c>
      <c r="B94" s="48" t="s">
        <v>730</v>
      </c>
      <c r="C94" s="48">
        <v>733</v>
      </c>
      <c r="D94" s="48">
        <v>1</v>
      </c>
      <c r="F94" s="186"/>
      <c r="G94" s="106">
        <v>86</v>
      </c>
      <c r="H94" s="179">
        <v>41</v>
      </c>
      <c r="I94" s="144" t="s">
        <v>613</v>
      </c>
      <c r="J94" s="144">
        <v>0.664</v>
      </c>
      <c r="K94" s="144">
        <v>1.382</v>
      </c>
      <c r="L94" s="144">
        <v>2.416</v>
      </c>
      <c r="M94" s="144">
        <v>3.69</v>
      </c>
      <c r="N94" s="144">
        <v>4.877</v>
      </c>
      <c r="O94" s="180">
        <v>9.9</v>
      </c>
      <c r="P94" s="144">
        <v>12.1</v>
      </c>
      <c r="Q94" s="181"/>
      <c r="R94" s="181"/>
    </row>
    <row r="95" spans="1:18" ht="12.75">
      <c r="A95" s="40" t="s">
        <v>724</v>
      </c>
      <c r="B95" s="48" t="s">
        <v>723</v>
      </c>
      <c r="C95" s="48">
        <v>328</v>
      </c>
      <c r="D95" s="48">
        <v>1</v>
      </c>
      <c r="F95" s="178"/>
      <c r="G95" s="106">
        <v>50</v>
      </c>
      <c r="H95" s="179">
        <v>60</v>
      </c>
      <c r="I95" s="144" t="s">
        <v>678</v>
      </c>
      <c r="J95" s="180">
        <v>0.53</v>
      </c>
      <c r="K95" s="144">
        <v>1.034</v>
      </c>
      <c r="L95" s="144">
        <v>2.13</v>
      </c>
      <c r="M95" s="180">
        <v>3.9</v>
      </c>
      <c r="N95" s="180">
        <v>5.79</v>
      </c>
      <c r="O95" s="144"/>
      <c r="P95" s="144"/>
      <c r="Q95" s="181"/>
      <c r="R95" s="181"/>
    </row>
    <row r="96" spans="1:18" ht="12.75">
      <c r="A96" s="40" t="s">
        <v>725</v>
      </c>
      <c r="B96" s="48" t="s">
        <v>730</v>
      </c>
      <c r="C96" s="48">
        <v>0</v>
      </c>
      <c r="D96" s="48">
        <v>1</v>
      </c>
      <c r="F96" s="178"/>
      <c r="G96" s="106">
        <v>-0.12</v>
      </c>
      <c r="H96" s="179">
        <v>10</v>
      </c>
      <c r="I96" s="144" t="s">
        <v>657</v>
      </c>
      <c r="J96" s="144">
        <v>2.0807</v>
      </c>
      <c r="K96" s="144">
        <v>3.9523</v>
      </c>
      <c r="L96" s="144">
        <v>6.122</v>
      </c>
      <c r="M96" s="180">
        <v>9.37</v>
      </c>
      <c r="N96" s="144">
        <v>12.178</v>
      </c>
      <c r="O96" s="144">
        <v>15.238</v>
      </c>
      <c r="P96" s="144">
        <v>19.999</v>
      </c>
      <c r="Q96" s="181">
        <v>23.069</v>
      </c>
      <c r="R96" s="181"/>
    </row>
    <row r="97" spans="1:18" ht="12.75">
      <c r="A97" s="40" t="s">
        <v>724</v>
      </c>
      <c r="B97" s="48" t="s">
        <v>730</v>
      </c>
      <c r="C97" s="48">
        <v>430.1</v>
      </c>
      <c r="D97" s="48">
        <v>1</v>
      </c>
      <c r="F97" s="186"/>
      <c r="G97" s="106">
        <v>112</v>
      </c>
      <c r="H97" s="179">
        <v>28</v>
      </c>
      <c r="I97" s="144" t="s">
        <v>596</v>
      </c>
      <c r="J97" s="144">
        <v>0.7367</v>
      </c>
      <c r="K97" s="184">
        <v>1.753</v>
      </c>
      <c r="L97" s="144">
        <v>3.393</v>
      </c>
      <c r="M97" s="190">
        <v>5.3</v>
      </c>
      <c r="N97" s="144">
        <v>7.28</v>
      </c>
      <c r="O97" s="144">
        <v>10.4</v>
      </c>
      <c r="P97" s="144">
        <v>12.8</v>
      </c>
      <c r="Q97" s="181">
        <v>15.6</v>
      </c>
      <c r="R97" s="181"/>
    </row>
    <row r="98" spans="1:18" ht="12.75">
      <c r="A98" s="40" t="s">
        <v>724</v>
      </c>
      <c r="B98" s="48" t="s">
        <v>721</v>
      </c>
      <c r="D98" s="48">
        <v>1</v>
      </c>
      <c r="F98" s="178"/>
      <c r="H98" s="179">
        <v>102</v>
      </c>
      <c r="I98" s="144" t="s">
        <v>714</v>
      </c>
      <c r="J98" s="144">
        <v>0.642</v>
      </c>
      <c r="K98" s="144">
        <v>1.25</v>
      </c>
      <c r="L98" s="185">
        <v>2.61</v>
      </c>
      <c r="M98" s="144"/>
      <c r="N98" s="144"/>
      <c r="O98" s="144"/>
      <c r="P98" s="144"/>
      <c r="Q98" s="181"/>
      <c r="R98" s="181"/>
    </row>
    <row r="99" spans="1:18" ht="12.75">
      <c r="A99" s="40" t="s">
        <v>724</v>
      </c>
      <c r="B99" s="48" t="s">
        <v>729</v>
      </c>
      <c r="C99" s="48">
        <v>464.8</v>
      </c>
      <c r="D99" s="48">
        <v>1</v>
      </c>
      <c r="F99" s="178"/>
      <c r="H99" s="179">
        <v>93</v>
      </c>
      <c r="I99" s="144" t="s">
        <v>625</v>
      </c>
      <c r="J99" s="190">
        <v>0.6</v>
      </c>
      <c r="K99" s="144">
        <v>1.13</v>
      </c>
      <c r="L99" s="185">
        <v>1.87</v>
      </c>
      <c r="M99" s="144"/>
      <c r="N99" s="144"/>
      <c r="O99" s="144"/>
      <c r="P99" s="144"/>
      <c r="Q99" s="181"/>
      <c r="R99" s="181"/>
    </row>
    <row r="100" spans="1:18" ht="12.75">
      <c r="A100" s="40" t="s">
        <v>725</v>
      </c>
      <c r="B100" s="48" t="s">
        <v>730</v>
      </c>
      <c r="C100" s="48">
        <v>249.17</v>
      </c>
      <c r="D100" s="48">
        <v>2</v>
      </c>
      <c r="F100" s="186">
        <v>-744</v>
      </c>
      <c r="G100" s="106">
        <v>140.98</v>
      </c>
      <c r="H100" s="179">
        <v>8</v>
      </c>
      <c r="I100" s="144" t="s">
        <v>571</v>
      </c>
      <c r="J100" s="184">
        <v>1.314</v>
      </c>
      <c r="K100" s="144">
        <v>3.3882</v>
      </c>
      <c r="L100" s="144">
        <v>5.3004</v>
      </c>
      <c r="M100" s="144">
        <v>7.4693</v>
      </c>
      <c r="N100" s="144">
        <v>10.9895</v>
      </c>
      <c r="O100" s="144">
        <v>13.3264</v>
      </c>
      <c r="P100" s="144">
        <v>71.3345</v>
      </c>
      <c r="Q100" s="181">
        <v>84.0777</v>
      </c>
      <c r="R100" s="181"/>
    </row>
    <row r="101" spans="1:18" ht="12.75">
      <c r="A101" s="40" t="s">
        <v>724</v>
      </c>
      <c r="B101" s="48" t="s">
        <v>723</v>
      </c>
      <c r="C101" s="48">
        <v>791</v>
      </c>
      <c r="D101" s="48">
        <v>1</v>
      </c>
      <c r="F101" s="178"/>
      <c r="G101" s="106">
        <v>106.1</v>
      </c>
      <c r="H101" s="179">
        <v>76</v>
      </c>
      <c r="I101" s="144" t="s">
        <v>693</v>
      </c>
      <c r="J101" s="144">
        <v>0.84</v>
      </c>
      <c r="K101" s="144">
        <v>1.6</v>
      </c>
      <c r="L101" s="185">
        <v>2.4</v>
      </c>
      <c r="M101" s="144"/>
      <c r="N101" s="144"/>
      <c r="O101" s="144"/>
      <c r="P101" s="144"/>
      <c r="Q101" s="181"/>
      <c r="R101" s="181"/>
    </row>
    <row r="102" spans="1:18" ht="12.75">
      <c r="A102" s="40" t="s">
        <v>724</v>
      </c>
      <c r="B102" s="48" t="s">
        <v>730</v>
      </c>
      <c r="C102" s="48">
        <v>316.39</v>
      </c>
      <c r="D102" s="48">
        <v>4</v>
      </c>
      <c r="E102" s="48">
        <v>-886</v>
      </c>
      <c r="F102" s="186">
        <v>-468</v>
      </c>
      <c r="G102" s="106">
        <v>72.03</v>
      </c>
      <c r="H102" s="179">
        <v>15</v>
      </c>
      <c r="I102" s="144" t="s">
        <v>587</v>
      </c>
      <c r="J102" s="144">
        <v>1.0118</v>
      </c>
      <c r="K102" s="144">
        <v>1.9032</v>
      </c>
      <c r="L102" s="144">
        <v>2.912</v>
      </c>
      <c r="M102" s="144">
        <v>4.957</v>
      </c>
      <c r="N102" s="144">
        <v>6.2739</v>
      </c>
      <c r="O102" s="144">
        <v>21.269</v>
      </c>
      <c r="P102" s="144">
        <v>25.397</v>
      </c>
      <c r="Q102" s="181">
        <v>29.854</v>
      </c>
      <c r="R102" s="181"/>
    </row>
    <row r="103" spans="1:18" ht="12.75">
      <c r="A103" s="40" t="s">
        <v>724</v>
      </c>
      <c r="B103" s="48" t="s">
        <v>723</v>
      </c>
      <c r="C103" s="48">
        <v>607</v>
      </c>
      <c r="D103" s="48">
        <v>1</v>
      </c>
      <c r="F103" s="178"/>
      <c r="H103" s="179">
        <v>91</v>
      </c>
      <c r="I103" s="144" t="s">
        <v>617</v>
      </c>
      <c r="J103" s="144">
        <v>0.57</v>
      </c>
      <c r="K103" s="144">
        <v>1.13</v>
      </c>
      <c r="L103" s="185">
        <v>1.81</v>
      </c>
      <c r="M103" s="144"/>
      <c r="N103" s="144"/>
      <c r="O103" s="144"/>
      <c r="P103" s="144"/>
      <c r="Q103" s="181"/>
      <c r="R103" s="181"/>
    </row>
    <row r="104" spans="1:18" ht="12.75">
      <c r="A104" s="40" t="s">
        <v>724</v>
      </c>
      <c r="B104" s="48" t="s">
        <v>730</v>
      </c>
      <c r="C104" s="48">
        <v>195.88</v>
      </c>
      <c r="D104" s="48">
        <v>1</v>
      </c>
      <c r="F104" s="183"/>
      <c r="G104" s="106">
        <v>35.1</v>
      </c>
      <c r="H104" s="179">
        <v>82</v>
      </c>
      <c r="I104" s="144" t="s">
        <v>598</v>
      </c>
      <c r="J104" s="144">
        <v>0.7155</v>
      </c>
      <c r="K104" s="144">
        <v>1.4504</v>
      </c>
      <c r="L104" s="144">
        <v>3.0815</v>
      </c>
      <c r="M104" s="144">
        <v>4.083</v>
      </c>
      <c r="N104" s="144">
        <v>6.64</v>
      </c>
      <c r="O104" s="144"/>
      <c r="P104" s="144"/>
      <c r="Q104" s="181"/>
      <c r="R104" s="181"/>
    </row>
    <row r="105" spans="1:18" ht="12.75">
      <c r="A105" s="40" t="s">
        <v>724</v>
      </c>
      <c r="B105" s="48" t="s">
        <v>723</v>
      </c>
      <c r="C105" s="48">
        <v>378</v>
      </c>
      <c r="D105" s="48">
        <v>1</v>
      </c>
      <c r="F105" s="183"/>
      <c r="G105" s="106">
        <v>54.2</v>
      </c>
      <c r="H105" s="179">
        <v>46</v>
      </c>
      <c r="I105" s="144" t="s">
        <v>643</v>
      </c>
      <c r="J105" s="144">
        <v>0.805</v>
      </c>
      <c r="K105" s="144">
        <v>1.875</v>
      </c>
      <c r="L105" s="144">
        <v>3.177</v>
      </c>
      <c r="M105" s="144"/>
      <c r="N105" s="144"/>
      <c r="O105" s="144"/>
      <c r="P105" s="144"/>
      <c r="Q105" s="181"/>
      <c r="R105" s="181"/>
    </row>
    <row r="106" spans="1:18" ht="12.75">
      <c r="A106" s="40" t="s">
        <v>724</v>
      </c>
      <c r="B106" s="48" t="s">
        <v>721</v>
      </c>
      <c r="D106" s="48">
        <v>1</v>
      </c>
      <c r="F106" s="178"/>
      <c r="G106" s="106">
        <v>50</v>
      </c>
      <c r="H106" s="179">
        <v>61</v>
      </c>
      <c r="I106" s="144" t="s">
        <v>679</v>
      </c>
      <c r="J106" s="144">
        <v>0.536</v>
      </c>
      <c r="K106" s="144">
        <v>1.052</v>
      </c>
      <c r="L106" s="144">
        <v>2.15</v>
      </c>
      <c r="M106" s="144">
        <v>3.97</v>
      </c>
      <c r="N106" s="144">
        <v>5.953</v>
      </c>
      <c r="O106" s="144"/>
      <c r="P106" s="144"/>
      <c r="Q106" s="181"/>
      <c r="R106" s="181"/>
    </row>
    <row r="107" spans="1:18" ht="12.75">
      <c r="A107" s="40" t="s">
        <v>724</v>
      </c>
      <c r="B107" s="48" t="s">
        <v>721</v>
      </c>
      <c r="D107" s="48">
        <v>1</v>
      </c>
      <c r="F107" s="178"/>
      <c r="H107" s="179">
        <v>84</v>
      </c>
      <c r="I107" s="144" t="s">
        <v>699</v>
      </c>
      <c r="J107" s="144">
        <v>0.812</v>
      </c>
      <c r="K107" s="144">
        <v>1.8</v>
      </c>
      <c r="L107" s="185">
        <v>2.7</v>
      </c>
      <c r="M107" s="144"/>
      <c r="N107" s="144"/>
      <c r="O107" s="144"/>
      <c r="P107" s="144"/>
      <c r="Q107" s="181"/>
      <c r="R107" s="181"/>
    </row>
    <row r="108" spans="1:18" ht="12.75">
      <c r="A108" s="40" t="s">
        <v>724</v>
      </c>
      <c r="B108" s="48" t="s">
        <v>723</v>
      </c>
      <c r="C108" s="48">
        <v>356</v>
      </c>
      <c r="D108" s="48">
        <v>1</v>
      </c>
      <c r="F108" s="178"/>
      <c r="G108" s="106">
        <v>50</v>
      </c>
      <c r="H108" s="179">
        <v>59</v>
      </c>
      <c r="I108" s="144" t="s">
        <v>677</v>
      </c>
      <c r="J108" s="144">
        <v>0.523</v>
      </c>
      <c r="K108" s="144">
        <v>1.018</v>
      </c>
      <c r="L108" s="144">
        <v>2.086</v>
      </c>
      <c r="M108" s="144">
        <v>3.761</v>
      </c>
      <c r="N108" s="144">
        <v>5.552</v>
      </c>
      <c r="O108" s="144"/>
      <c r="P108" s="144"/>
      <c r="Q108" s="181"/>
      <c r="R108" s="181"/>
    </row>
    <row r="109" spans="1:18" ht="12.75">
      <c r="A109" s="40" t="s">
        <v>724</v>
      </c>
      <c r="B109" s="48" t="s">
        <v>723</v>
      </c>
      <c r="C109" s="48">
        <v>565</v>
      </c>
      <c r="D109" s="48">
        <v>1</v>
      </c>
      <c r="F109" s="183"/>
      <c r="G109" s="106">
        <v>204.9</v>
      </c>
      <c r="H109" s="179">
        <v>78</v>
      </c>
      <c r="I109" s="144" t="s">
        <v>644</v>
      </c>
      <c r="J109" s="144">
        <v>0.87</v>
      </c>
      <c r="K109" s="144">
        <v>1.7911</v>
      </c>
      <c r="L109" s="185">
        <v>2.8</v>
      </c>
      <c r="M109" s="144"/>
      <c r="N109" s="144"/>
      <c r="O109" s="144"/>
      <c r="P109" s="144"/>
      <c r="Q109" s="181"/>
      <c r="R109" s="181"/>
    </row>
    <row r="110" spans="1:18" ht="12.75">
      <c r="A110" s="40" t="s">
        <v>724</v>
      </c>
      <c r="B110" s="48" t="s">
        <v>729</v>
      </c>
      <c r="C110" s="48">
        <v>351.9</v>
      </c>
      <c r="D110" s="48">
        <v>1</v>
      </c>
      <c r="F110" s="178"/>
      <c r="H110" s="179">
        <v>94</v>
      </c>
      <c r="I110" s="144" t="s">
        <v>626</v>
      </c>
      <c r="J110" s="144">
        <v>0.585</v>
      </c>
      <c r="K110" s="144">
        <v>1.13</v>
      </c>
      <c r="L110" s="206">
        <v>2.1</v>
      </c>
      <c r="M110" s="144"/>
      <c r="N110" s="144"/>
      <c r="O110" s="144"/>
      <c r="P110" s="144"/>
      <c r="Q110" s="181"/>
      <c r="R110" s="181"/>
    </row>
    <row r="111" spans="1:18" ht="12.75">
      <c r="A111" s="40" t="s">
        <v>724</v>
      </c>
      <c r="B111" s="48" t="s">
        <v>723</v>
      </c>
      <c r="C111" s="48">
        <v>159</v>
      </c>
      <c r="D111" s="48">
        <v>1</v>
      </c>
      <c r="F111" s="178"/>
      <c r="H111" s="179">
        <v>88</v>
      </c>
      <c r="I111" s="144" t="s">
        <v>703</v>
      </c>
      <c r="J111" s="144">
        <v>0.5094</v>
      </c>
      <c r="K111" s="144">
        <v>0.97906</v>
      </c>
      <c r="L111" s="185">
        <v>3.3</v>
      </c>
      <c r="M111" s="144"/>
      <c r="N111" s="144"/>
      <c r="O111" s="144"/>
      <c r="P111" s="144"/>
      <c r="Q111" s="181"/>
      <c r="R111" s="181"/>
    </row>
    <row r="112" spans="1:18" ht="12.75">
      <c r="A112" s="40" t="s">
        <v>724</v>
      </c>
      <c r="B112" s="48" t="s">
        <v>730</v>
      </c>
      <c r="C112" s="48">
        <v>82.2</v>
      </c>
      <c r="D112" s="48">
        <v>1</v>
      </c>
      <c r="F112" s="178"/>
      <c r="G112" s="106">
        <v>46.886</v>
      </c>
      <c r="H112" s="179">
        <v>37</v>
      </c>
      <c r="I112" s="144" t="s">
        <v>588</v>
      </c>
      <c r="J112" s="184">
        <v>0.403</v>
      </c>
      <c r="K112" s="144">
        <v>2.633</v>
      </c>
      <c r="L112" s="144">
        <v>3.9</v>
      </c>
      <c r="M112" s="144">
        <v>5.08</v>
      </c>
      <c r="N112" s="144">
        <v>6.85</v>
      </c>
      <c r="O112" s="144">
        <v>8.14</v>
      </c>
      <c r="P112" s="144">
        <v>9.57</v>
      </c>
      <c r="Q112" s="181">
        <v>13.1</v>
      </c>
      <c r="R112" s="181"/>
    </row>
    <row r="113" spans="1:18" ht="12.75">
      <c r="A113" s="40" t="s">
        <v>724</v>
      </c>
      <c r="B113" s="48" t="s">
        <v>723</v>
      </c>
      <c r="C113" s="48">
        <v>770</v>
      </c>
      <c r="D113" s="48">
        <v>1</v>
      </c>
      <c r="F113" s="178"/>
      <c r="G113" s="106">
        <v>14.47</v>
      </c>
      <c r="H113" s="179">
        <v>75</v>
      </c>
      <c r="I113" s="144" t="s">
        <v>691</v>
      </c>
      <c r="J113" s="180">
        <v>0.76</v>
      </c>
      <c r="K113" s="144">
        <v>1.26</v>
      </c>
      <c r="L113" s="144">
        <v>2.51</v>
      </c>
      <c r="M113" s="144"/>
      <c r="N113" s="144"/>
      <c r="O113" s="144"/>
      <c r="P113" s="144"/>
      <c r="Q113" s="181"/>
      <c r="R113" s="181"/>
    </row>
    <row r="114" spans="1:18" ht="12.75">
      <c r="A114" s="40" t="s">
        <v>724</v>
      </c>
      <c r="B114" s="48" t="s">
        <v>723</v>
      </c>
      <c r="C114" s="48">
        <v>557</v>
      </c>
      <c r="D114" s="48">
        <v>1</v>
      </c>
      <c r="F114" s="183"/>
      <c r="G114" s="106">
        <v>109.7</v>
      </c>
      <c r="H114" s="179">
        <v>45</v>
      </c>
      <c r="I114" s="144" t="s">
        <v>671</v>
      </c>
      <c r="J114" s="180">
        <v>0.72</v>
      </c>
      <c r="K114" s="144">
        <v>1.744</v>
      </c>
      <c r="L114" s="144">
        <v>2.997</v>
      </c>
      <c r="M114" s="144"/>
      <c r="N114" s="144"/>
      <c r="O114" s="144"/>
      <c r="P114" s="144"/>
      <c r="Q114" s="181"/>
      <c r="R114" s="181"/>
    </row>
    <row r="115" spans="1:18" ht="12.75">
      <c r="A115" s="40" t="s">
        <v>725</v>
      </c>
      <c r="B115" s="48" t="s">
        <v>723</v>
      </c>
      <c r="C115" s="48">
        <v>0</v>
      </c>
      <c r="D115" s="48">
        <v>1</v>
      </c>
      <c r="F115" s="178"/>
      <c r="H115" s="179">
        <v>86</v>
      </c>
      <c r="I115" s="144" t="s">
        <v>701</v>
      </c>
      <c r="J115" s="184">
        <v>1.037</v>
      </c>
      <c r="K115" s="144"/>
      <c r="L115" s="144"/>
      <c r="M115" s="144"/>
      <c r="N115" s="144"/>
      <c r="O115" s="144"/>
      <c r="P115" s="144"/>
      <c r="Q115" s="181"/>
      <c r="R115" s="181"/>
    </row>
    <row r="116" spans="1:18" ht="12.75">
      <c r="A116" s="40" t="s">
        <v>724</v>
      </c>
      <c r="B116" s="48" t="s">
        <v>730</v>
      </c>
      <c r="C116" s="48">
        <v>643</v>
      </c>
      <c r="D116" s="48">
        <v>1</v>
      </c>
      <c r="F116" s="178"/>
      <c r="G116" s="106">
        <v>101.3</v>
      </c>
      <c r="H116" s="179">
        <v>44</v>
      </c>
      <c r="I116" s="144" t="s">
        <v>670</v>
      </c>
      <c r="J116" s="144">
        <v>0.711</v>
      </c>
      <c r="K116" s="144">
        <v>1.617</v>
      </c>
      <c r="L116" s="144">
        <v>2.747</v>
      </c>
      <c r="M116" s="144"/>
      <c r="N116" s="144"/>
      <c r="O116" s="144"/>
      <c r="P116" s="144"/>
      <c r="Q116" s="181"/>
      <c r="R116" s="181"/>
    </row>
    <row r="117" spans="1:18" ht="12.75">
      <c r="A117" s="40" t="s">
        <v>724</v>
      </c>
      <c r="B117" s="48" t="s">
        <v>730</v>
      </c>
      <c r="C117" s="48">
        <v>276.98</v>
      </c>
      <c r="D117" s="48">
        <v>8</v>
      </c>
      <c r="F117" s="186">
        <v>-456</v>
      </c>
      <c r="G117" s="106">
        <v>200.41</v>
      </c>
      <c r="H117" s="179">
        <v>16</v>
      </c>
      <c r="I117" s="144" t="s">
        <v>583</v>
      </c>
      <c r="J117" s="144">
        <v>0.9996</v>
      </c>
      <c r="K117" s="144">
        <v>2.251</v>
      </c>
      <c r="L117" s="144">
        <v>3.361</v>
      </c>
      <c r="M117" s="144">
        <v>4.564</v>
      </c>
      <c r="N117" s="144">
        <v>7.013</v>
      </c>
      <c r="O117" s="144">
        <v>8.4956</v>
      </c>
      <c r="P117" s="144">
        <v>27.106</v>
      </c>
      <c r="Q117" s="193">
        <v>31.67</v>
      </c>
      <c r="R117" s="181"/>
    </row>
    <row r="118" spans="1:18" ht="12.75">
      <c r="A118" s="40" t="s">
        <v>724</v>
      </c>
      <c r="B118" s="48" t="s">
        <v>723</v>
      </c>
      <c r="C118" s="48">
        <v>262</v>
      </c>
      <c r="D118" s="48">
        <v>1</v>
      </c>
      <c r="F118" s="183"/>
      <c r="G118" s="106">
        <v>100.9</v>
      </c>
      <c r="H118" s="179">
        <v>51</v>
      </c>
      <c r="I118" s="144" t="s">
        <v>600</v>
      </c>
      <c r="J118" s="144">
        <v>0.8316</v>
      </c>
      <c r="K118" s="144">
        <v>1.595</v>
      </c>
      <c r="L118" s="144">
        <v>2.44</v>
      </c>
      <c r="M118" s="144">
        <v>4.26</v>
      </c>
      <c r="N118" s="144">
        <v>5.4</v>
      </c>
      <c r="O118" s="144">
        <v>10.4</v>
      </c>
      <c r="P118" s="144"/>
      <c r="Q118" s="181"/>
      <c r="R118" s="181"/>
    </row>
    <row r="119" spans="1:18" ht="12.75">
      <c r="A119" s="40" t="s">
        <v>724</v>
      </c>
      <c r="B119" s="48" t="s">
        <v>723</v>
      </c>
      <c r="C119" s="48">
        <v>378</v>
      </c>
      <c r="D119" s="48">
        <v>1</v>
      </c>
      <c r="F119" s="186"/>
      <c r="G119" s="106">
        <v>18</v>
      </c>
      <c r="H119" s="179">
        <v>21</v>
      </c>
      <c r="I119" s="144" t="s">
        <v>621</v>
      </c>
      <c r="J119" s="144">
        <v>0.631</v>
      </c>
      <c r="K119" s="144">
        <v>1.235</v>
      </c>
      <c r="L119" s="144">
        <v>2.389</v>
      </c>
      <c r="M119" s="144">
        <v>7.089</v>
      </c>
      <c r="N119" s="144">
        <v>8.844</v>
      </c>
      <c r="O119" s="144">
        <v>10.72</v>
      </c>
      <c r="P119" s="144">
        <v>13.32</v>
      </c>
      <c r="Q119" s="181">
        <v>15.31</v>
      </c>
      <c r="R119" s="181"/>
    </row>
    <row r="120" spans="1:18" ht="12.75">
      <c r="A120" s="40" t="s">
        <v>724</v>
      </c>
      <c r="B120" s="48" t="s">
        <v>723</v>
      </c>
      <c r="C120" s="48">
        <v>227.1</v>
      </c>
      <c r="D120" s="48">
        <v>1</v>
      </c>
      <c r="F120" s="186">
        <v>-410</v>
      </c>
      <c r="G120" s="106">
        <v>194.97</v>
      </c>
      <c r="H120" s="179">
        <v>34</v>
      </c>
      <c r="I120" s="144" t="s">
        <v>592</v>
      </c>
      <c r="J120" s="144">
        <v>0.9409</v>
      </c>
      <c r="K120" s="144">
        <v>2.045</v>
      </c>
      <c r="L120" s="144">
        <v>2.9737</v>
      </c>
      <c r="M120" s="144">
        <v>4.1435</v>
      </c>
      <c r="N120" s="144">
        <v>6.59</v>
      </c>
      <c r="O120" s="144">
        <v>7.883</v>
      </c>
      <c r="P120" s="144">
        <v>14.99</v>
      </c>
      <c r="Q120" s="181"/>
      <c r="R120" s="181"/>
    </row>
    <row r="121" spans="1:18" ht="12.75">
      <c r="A121" s="40" t="s">
        <v>724</v>
      </c>
      <c r="B121" s="48" t="s">
        <v>730</v>
      </c>
      <c r="C121" s="48">
        <v>450</v>
      </c>
      <c r="D121" s="48">
        <v>1</v>
      </c>
      <c r="F121" s="183"/>
      <c r="G121" s="106">
        <v>133.6</v>
      </c>
      <c r="H121" s="179">
        <v>14</v>
      </c>
      <c r="I121" s="144" t="s">
        <v>649</v>
      </c>
      <c r="J121" s="144">
        <v>0.7865</v>
      </c>
      <c r="K121" s="144">
        <v>1.5771</v>
      </c>
      <c r="L121" s="144">
        <v>3.2316</v>
      </c>
      <c r="M121" s="144">
        <v>4.3555</v>
      </c>
      <c r="N121" s="144">
        <v>16.091</v>
      </c>
      <c r="O121" s="144">
        <v>19.785</v>
      </c>
      <c r="P121" s="144">
        <v>23.786</v>
      </c>
      <c r="Q121" s="181">
        <v>29.252</v>
      </c>
      <c r="R121" s="181"/>
    </row>
    <row r="122" spans="1:18" ht="12.75">
      <c r="A122" s="40" t="s">
        <v>724</v>
      </c>
      <c r="B122" s="48" t="s">
        <v>723</v>
      </c>
      <c r="C122" s="48">
        <v>207</v>
      </c>
      <c r="D122" s="48">
        <v>1</v>
      </c>
      <c r="F122" s="178"/>
      <c r="G122" s="106">
        <v>50</v>
      </c>
      <c r="H122" s="179">
        <v>62</v>
      </c>
      <c r="I122" s="144" t="s">
        <v>635</v>
      </c>
      <c r="J122" s="144">
        <v>0.543</v>
      </c>
      <c r="K122" s="144">
        <v>1.068</v>
      </c>
      <c r="L122" s="144">
        <v>2.26</v>
      </c>
      <c r="M122" s="190">
        <v>4</v>
      </c>
      <c r="N122" s="144">
        <v>6.046</v>
      </c>
      <c r="O122" s="144"/>
      <c r="P122" s="144"/>
      <c r="Q122" s="181"/>
      <c r="R122" s="181"/>
    </row>
    <row r="123" spans="1:18" ht="12.75">
      <c r="A123" s="40" t="s">
        <v>724</v>
      </c>
      <c r="B123" s="48" t="s">
        <v>730</v>
      </c>
      <c r="C123" s="144">
        <v>301</v>
      </c>
      <c r="D123" s="48">
        <v>1</v>
      </c>
      <c r="F123" s="186"/>
      <c r="G123" s="106">
        <v>107</v>
      </c>
      <c r="H123" s="179">
        <v>50</v>
      </c>
      <c r="I123" s="144" t="s">
        <v>590</v>
      </c>
      <c r="J123" s="144">
        <v>0.7086</v>
      </c>
      <c r="K123" s="144">
        <v>1.4118</v>
      </c>
      <c r="L123" s="144">
        <v>2.9431</v>
      </c>
      <c r="M123" s="144">
        <v>3.9303</v>
      </c>
      <c r="N123" s="144">
        <v>6.974</v>
      </c>
      <c r="O123" s="144"/>
      <c r="P123" s="144"/>
      <c r="Q123" s="181"/>
      <c r="R123" s="181"/>
    </row>
    <row r="124" spans="1:18" ht="12.75">
      <c r="A124" s="40" t="s">
        <v>724</v>
      </c>
      <c r="B124" s="48" t="s">
        <v>730</v>
      </c>
      <c r="C124" s="48">
        <v>164</v>
      </c>
      <c r="D124" s="48">
        <v>1</v>
      </c>
      <c r="F124" s="183"/>
      <c r="G124" s="106">
        <v>4.6</v>
      </c>
      <c r="H124" s="179">
        <v>38</v>
      </c>
      <c r="I124" s="144" t="s">
        <v>624</v>
      </c>
      <c r="J124" s="144">
        <v>0.5495</v>
      </c>
      <c r="K124" s="144">
        <v>1.0643</v>
      </c>
      <c r="L124" s="144">
        <v>4.21</v>
      </c>
      <c r="M124" s="144">
        <v>5.5</v>
      </c>
      <c r="N124" s="144">
        <v>6.91</v>
      </c>
      <c r="O124" s="144">
        <v>8.76</v>
      </c>
      <c r="P124" s="144">
        <v>10.2</v>
      </c>
      <c r="Q124" s="191">
        <v>11.8</v>
      </c>
      <c r="R124" s="181"/>
    </row>
    <row r="125" spans="1:18" ht="12.75">
      <c r="A125" s="40" t="s">
        <v>724</v>
      </c>
      <c r="B125" s="48" t="s">
        <v>730</v>
      </c>
      <c r="C125" s="48">
        <v>781.99</v>
      </c>
      <c r="D125" s="48">
        <v>1</v>
      </c>
      <c r="F125" s="186"/>
      <c r="G125" s="106">
        <v>31</v>
      </c>
      <c r="H125" s="179">
        <v>73</v>
      </c>
      <c r="I125" s="144" t="s">
        <v>614</v>
      </c>
      <c r="J125" s="144">
        <v>0.761</v>
      </c>
      <c r="K125" s="144">
        <v>1.5</v>
      </c>
      <c r="L125" s="185">
        <v>2.1</v>
      </c>
      <c r="M125" s="144"/>
      <c r="N125" s="144"/>
      <c r="O125" s="144"/>
      <c r="P125" s="144"/>
      <c r="Q125" s="181"/>
      <c r="R125" s="181"/>
    </row>
    <row r="126" spans="1:18" ht="12.75">
      <c r="A126" s="40" t="s">
        <v>724</v>
      </c>
      <c r="B126" s="48" t="s">
        <v>723</v>
      </c>
      <c r="C126" s="48">
        <v>389</v>
      </c>
      <c r="D126" s="48">
        <v>1</v>
      </c>
      <c r="F126" s="178"/>
      <c r="G126" s="106">
        <v>50</v>
      </c>
      <c r="H126" s="179">
        <v>65</v>
      </c>
      <c r="I126" s="144" t="s">
        <v>681</v>
      </c>
      <c r="J126" s="144">
        <v>0.564</v>
      </c>
      <c r="K126" s="144">
        <v>1.112</v>
      </c>
      <c r="L126" s="144">
        <v>2.11</v>
      </c>
      <c r="M126" s="144">
        <v>3.84</v>
      </c>
      <c r="N126" s="144">
        <v>6.413</v>
      </c>
      <c r="O126" s="144"/>
      <c r="P126" s="144"/>
      <c r="Q126" s="181"/>
      <c r="R126" s="181"/>
    </row>
    <row r="127" spans="1:18" ht="12.75">
      <c r="A127" s="40" t="s">
        <v>724</v>
      </c>
      <c r="B127" s="48" t="s">
        <v>723</v>
      </c>
      <c r="C127" s="48">
        <v>678</v>
      </c>
      <c r="D127" s="48">
        <v>1</v>
      </c>
      <c r="F127" s="178"/>
      <c r="G127" s="106">
        <v>53</v>
      </c>
      <c r="H127" s="179">
        <v>43</v>
      </c>
      <c r="I127" s="144" t="s">
        <v>668</v>
      </c>
      <c r="J127" s="144">
        <v>0.702</v>
      </c>
      <c r="K127" s="144">
        <v>1.472</v>
      </c>
      <c r="L127" s="180">
        <v>2.85</v>
      </c>
      <c r="M127" s="144"/>
      <c r="N127" s="144"/>
      <c r="O127" s="144"/>
      <c r="P127" s="144"/>
      <c r="Q127" s="181"/>
      <c r="R127" s="181"/>
    </row>
    <row r="128" spans="1:18" ht="12.75">
      <c r="A128" s="40" t="s">
        <v>724</v>
      </c>
      <c r="B128" s="48" t="s">
        <v>723</v>
      </c>
      <c r="C128" s="48">
        <v>196.7</v>
      </c>
      <c r="D128" s="48">
        <v>1</v>
      </c>
      <c r="F128" s="192"/>
      <c r="G128" s="106">
        <v>190.15</v>
      </c>
      <c r="H128" s="179">
        <v>52</v>
      </c>
      <c r="I128" s="144" t="s">
        <v>595</v>
      </c>
      <c r="J128" s="144">
        <v>0.8693</v>
      </c>
      <c r="K128" s="144">
        <v>1.79</v>
      </c>
      <c r="L128" s="144">
        <v>2.698</v>
      </c>
      <c r="M128" s="180">
        <v>3.61</v>
      </c>
      <c r="N128" s="144">
        <v>5.669</v>
      </c>
      <c r="O128" s="144">
        <v>6.82</v>
      </c>
      <c r="P128" s="144">
        <v>13.2</v>
      </c>
      <c r="Q128" s="181"/>
      <c r="R128" s="181"/>
    </row>
    <row r="129" spans="1:18" ht="12.75">
      <c r="A129" s="40" t="s">
        <v>724</v>
      </c>
      <c r="B129" s="48" t="s">
        <v>722</v>
      </c>
      <c r="C129" s="144">
        <v>602</v>
      </c>
      <c r="D129" s="48">
        <v>1</v>
      </c>
      <c r="F129" s="178"/>
      <c r="H129" s="179">
        <v>90</v>
      </c>
      <c r="I129" s="144" t="s">
        <v>628</v>
      </c>
      <c r="J129" s="144">
        <v>0.59</v>
      </c>
      <c r="K129" s="144">
        <v>1.11</v>
      </c>
      <c r="L129" s="144">
        <v>1.93</v>
      </c>
      <c r="M129" s="144">
        <v>2.78</v>
      </c>
      <c r="N129" s="144"/>
      <c r="O129" s="144"/>
      <c r="P129" s="144"/>
      <c r="Q129" s="181"/>
      <c r="R129" s="181"/>
    </row>
    <row r="130" spans="1:18" ht="12.75">
      <c r="A130" s="40" t="s">
        <v>724</v>
      </c>
      <c r="B130" s="48" t="s">
        <v>730</v>
      </c>
      <c r="C130" s="48">
        <v>473.63</v>
      </c>
      <c r="D130" s="48">
        <v>1</v>
      </c>
      <c r="F130" s="186"/>
      <c r="G130" s="106">
        <v>8</v>
      </c>
      <c r="H130" s="179">
        <v>22</v>
      </c>
      <c r="I130" s="144" t="s">
        <v>570</v>
      </c>
      <c r="J130" s="144">
        <v>0.658</v>
      </c>
      <c r="K130" s="180">
        <v>1.31</v>
      </c>
      <c r="L130" s="144">
        <v>2.6525</v>
      </c>
      <c r="M130" s="144">
        <v>4.1746</v>
      </c>
      <c r="N130" s="144">
        <v>9.573</v>
      </c>
      <c r="O130" s="144">
        <v>11.517</v>
      </c>
      <c r="P130" s="144">
        <v>13.59</v>
      </c>
      <c r="Q130" s="181">
        <v>16.26</v>
      </c>
      <c r="R130" s="181"/>
    </row>
    <row r="131" spans="1:18" ht="12.75">
      <c r="A131" s="40" t="s">
        <v>724</v>
      </c>
      <c r="B131" s="48" t="s">
        <v>723</v>
      </c>
      <c r="C131" s="48">
        <v>182.2</v>
      </c>
      <c r="D131" s="48">
        <v>1</v>
      </c>
      <c r="F131" s="186"/>
      <c r="G131" s="106">
        <v>19</v>
      </c>
      <c r="H131" s="179">
        <v>81</v>
      </c>
      <c r="I131" s="144" t="s">
        <v>591</v>
      </c>
      <c r="J131" s="144">
        <v>0.5893</v>
      </c>
      <c r="K131" s="184">
        <v>1.971</v>
      </c>
      <c r="L131" s="144">
        <v>2.878</v>
      </c>
      <c r="M131" s="144"/>
      <c r="N131" s="144"/>
      <c r="O131" s="144"/>
      <c r="P131" s="144"/>
      <c r="Q131" s="181"/>
      <c r="R131" s="181"/>
    </row>
    <row r="132" spans="1:18" ht="12.75">
      <c r="A132" s="40" t="s">
        <v>724</v>
      </c>
      <c r="B132" s="48" t="s">
        <v>723</v>
      </c>
      <c r="C132" s="48">
        <v>232</v>
      </c>
      <c r="D132" s="48">
        <v>1</v>
      </c>
      <c r="F132" s="178"/>
      <c r="G132" s="106">
        <v>50</v>
      </c>
      <c r="H132" s="179">
        <v>69</v>
      </c>
      <c r="I132" s="144" t="s">
        <v>685</v>
      </c>
      <c r="J132" s="144">
        <v>0.5967</v>
      </c>
      <c r="K132" s="144">
        <v>1.163</v>
      </c>
      <c r="L132" s="144">
        <v>2.284</v>
      </c>
      <c r="M132" s="144">
        <v>4.12</v>
      </c>
      <c r="N132" s="144">
        <v>6.313</v>
      </c>
      <c r="O132" s="144"/>
      <c r="P132" s="144"/>
      <c r="Q132" s="181"/>
      <c r="R132" s="181"/>
    </row>
    <row r="133" spans="1:18" ht="12.75">
      <c r="A133" s="40" t="s">
        <v>724</v>
      </c>
      <c r="B133" s="48" t="s">
        <v>722</v>
      </c>
      <c r="C133" s="144">
        <v>533</v>
      </c>
      <c r="D133" s="48">
        <v>1</v>
      </c>
      <c r="F133" s="178"/>
      <c r="H133" s="179">
        <v>92</v>
      </c>
      <c r="I133" s="144" t="s">
        <v>629</v>
      </c>
      <c r="J133" s="144">
        <v>0.59</v>
      </c>
      <c r="K133" s="144">
        <v>1.44</v>
      </c>
      <c r="L133" s="185">
        <v>1.84</v>
      </c>
      <c r="M133" s="144"/>
      <c r="N133" s="144"/>
      <c r="O133" s="144"/>
      <c r="P133" s="144"/>
      <c r="Q133" s="181"/>
      <c r="R133" s="181"/>
    </row>
    <row r="134" spans="1:18" ht="12.75">
      <c r="A134" s="40" t="s">
        <v>724</v>
      </c>
      <c r="B134" s="48" t="s">
        <v>730</v>
      </c>
      <c r="C134" s="48">
        <v>515.5</v>
      </c>
      <c r="D134" s="48">
        <v>1</v>
      </c>
      <c r="F134" s="186"/>
      <c r="G134" s="106">
        <v>51</v>
      </c>
      <c r="H134" s="179">
        <v>23</v>
      </c>
      <c r="I134" s="144" t="s">
        <v>589</v>
      </c>
      <c r="J134" s="180">
        <v>0.65</v>
      </c>
      <c r="K134" s="144">
        <v>1.414</v>
      </c>
      <c r="L134" s="144">
        <v>2.828</v>
      </c>
      <c r="M134" s="144">
        <v>4.5066</v>
      </c>
      <c r="N134" s="144">
        <v>6.299</v>
      </c>
      <c r="O134" s="144">
        <v>12.362</v>
      </c>
      <c r="P134" s="144">
        <v>14.489</v>
      </c>
      <c r="Q134" s="193">
        <v>16.76</v>
      </c>
      <c r="R134" s="181"/>
    </row>
    <row r="135" spans="1:18" ht="12.75">
      <c r="A135" s="40" t="s">
        <v>724</v>
      </c>
      <c r="B135" s="48" t="s">
        <v>730</v>
      </c>
      <c r="C135" s="48">
        <v>851</v>
      </c>
      <c r="D135" s="48">
        <v>1</v>
      </c>
      <c r="F135" s="183"/>
      <c r="G135" s="106">
        <v>78.8</v>
      </c>
      <c r="H135" s="179">
        <v>74</v>
      </c>
      <c r="I135" s="144" t="s">
        <v>689</v>
      </c>
      <c r="J135" s="180">
        <v>0.77</v>
      </c>
      <c r="K135" s="144">
        <v>1.7</v>
      </c>
      <c r="L135" s="144">
        <v>2.3</v>
      </c>
      <c r="M135" s="144"/>
      <c r="N135" s="144"/>
      <c r="O135" s="144"/>
      <c r="P135" s="144"/>
      <c r="Q135" s="181"/>
      <c r="R135" s="181"/>
    </row>
    <row r="136" spans="1:18" ht="15.75">
      <c r="A136" s="40" t="s">
        <v>725</v>
      </c>
      <c r="B136" s="48" t="s">
        <v>730</v>
      </c>
      <c r="C136" s="48">
        <v>0</v>
      </c>
      <c r="D136" s="48">
        <v>1</v>
      </c>
      <c r="F136" s="178"/>
      <c r="G136" s="188">
        <v>-0.008</v>
      </c>
      <c r="H136" s="179">
        <v>54</v>
      </c>
      <c r="I136" s="144" t="s">
        <v>675</v>
      </c>
      <c r="J136" s="144">
        <v>1.1704</v>
      </c>
      <c r="K136" s="144">
        <v>2.046</v>
      </c>
      <c r="L136" s="190">
        <v>3.1</v>
      </c>
      <c r="M136" s="144"/>
      <c r="N136" s="144"/>
      <c r="O136" s="144"/>
      <c r="P136" s="144"/>
      <c r="Q136" s="181"/>
      <c r="R136" s="181"/>
    </row>
    <row r="137" spans="1:18" ht="12.75">
      <c r="A137" s="40" t="s">
        <v>724</v>
      </c>
      <c r="B137" s="48" t="s">
        <v>723</v>
      </c>
      <c r="C137" s="48">
        <v>421</v>
      </c>
      <c r="D137" s="48">
        <v>1</v>
      </c>
      <c r="F137" s="186"/>
      <c r="G137" s="106">
        <v>30</v>
      </c>
      <c r="H137" s="179">
        <v>39</v>
      </c>
      <c r="I137" s="144" t="s">
        <v>623</v>
      </c>
      <c r="J137" s="144">
        <v>0.616</v>
      </c>
      <c r="K137" s="144">
        <v>1.181</v>
      </c>
      <c r="L137" s="180">
        <v>1.98</v>
      </c>
      <c r="M137" s="144">
        <v>5.96</v>
      </c>
      <c r="N137" s="144">
        <v>7.43</v>
      </c>
      <c r="O137" s="144">
        <v>8.97</v>
      </c>
      <c r="P137" s="144">
        <v>11.2</v>
      </c>
      <c r="Q137" s="181">
        <v>12.4</v>
      </c>
      <c r="R137" s="181"/>
    </row>
    <row r="138" spans="1:18" ht="12.75">
      <c r="A138" s="40" t="s">
        <v>724</v>
      </c>
      <c r="B138" s="48" t="s">
        <v>723</v>
      </c>
      <c r="C138" s="48">
        <v>152</v>
      </c>
      <c r="D138" s="48">
        <v>1</v>
      </c>
      <c r="F138" s="178"/>
      <c r="G138" s="106">
        <v>50</v>
      </c>
      <c r="H138" s="179">
        <v>70</v>
      </c>
      <c r="I138" s="144" t="s">
        <v>686</v>
      </c>
      <c r="J138" s="144">
        <v>0.6034</v>
      </c>
      <c r="K138" s="144">
        <v>1.175</v>
      </c>
      <c r="L138" s="144">
        <v>2.415</v>
      </c>
      <c r="M138" s="144">
        <v>4.22</v>
      </c>
      <c r="N138" s="144">
        <v>6.328</v>
      </c>
      <c r="O138" s="144"/>
      <c r="P138" s="144"/>
      <c r="Q138" s="181"/>
      <c r="R138" s="181"/>
    </row>
    <row r="139" spans="1:18" ht="15.75">
      <c r="A139" s="40" t="s">
        <v>724</v>
      </c>
      <c r="B139" s="48" t="s">
        <v>730</v>
      </c>
      <c r="C139" s="48">
        <v>130.42</v>
      </c>
      <c r="D139" s="48">
        <v>1</v>
      </c>
      <c r="F139" s="178"/>
      <c r="G139" s="188"/>
      <c r="H139" s="179">
        <v>30</v>
      </c>
      <c r="I139" s="144" t="s">
        <v>647</v>
      </c>
      <c r="J139" s="144">
        <v>0.9064</v>
      </c>
      <c r="K139" s="144">
        <v>1.7333</v>
      </c>
      <c r="L139" s="144">
        <v>3.8327</v>
      </c>
      <c r="M139" s="144">
        <v>5.73</v>
      </c>
      <c r="N139" s="144">
        <v>7.97</v>
      </c>
      <c r="O139" s="144">
        <v>10.4</v>
      </c>
      <c r="P139" s="144">
        <v>12.9</v>
      </c>
      <c r="Q139" s="181">
        <v>16.8</v>
      </c>
      <c r="R139" s="181"/>
    </row>
    <row r="140" spans="1:17" ht="12.75">
      <c r="A140" s="40" t="s">
        <v>724</v>
      </c>
      <c r="B140" s="48" t="s">
        <v>730</v>
      </c>
      <c r="C140" s="48">
        <v>610</v>
      </c>
      <c r="D140" s="48">
        <v>1</v>
      </c>
      <c r="F140" s="186"/>
      <c r="G140" s="106">
        <v>41</v>
      </c>
      <c r="H140" s="179">
        <v>40</v>
      </c>
      <c r="I140" s="144" t="s">
        <v>611</v>
      </c>
      <c r="J140" s="180">
        <v>0.66</v>
      </c>
      <c r="K140" s="144">
        <v>1.167</v>
      </c>
      <c r="L140" s="144">
        <v>2.218</v>
      </c>
      <c r="M140" s="144">
        <v>3.313</v>
      </c>
      <c r="N140" s="144">
        <v>7.86</v>
      </c>
      <c r="O140" s="144"/>
      <c r="P140" s="144"/>
      <c r="Q140" s="181"/>
    </row>
    <row r="143" spans="10:13" ht="12.75">
      <c r="J143" s="58" t="s">
        <v>988</v>
      </c>
      <c r="K143" s="63" t="s">
        <v>958</v>
      </c>
      <c r="L143" s="63" t="s">
        <v>989</v>
      </c>
      <c r="M143" s="63" t="s">
        <v>991</v>
      </c>
    </row>
    <row r="144" spans="9:10" ht="12.75">
      <c r="I144" s="48">
        <v>1</v>
      </c>
      <c r="J144" s="48" t="s">
        <v>606</v>
      </c>
    </row>
    <row r="145" spans="9:13" ht="12.75">
      <c r="I145" s="48">
        <v>2</v>
      </c>
      <c r="J145" s="48">
        <v>1</v>
      </c>
      <c r="K145" s="48">
        <v>1</v>
      </c>
      <c r="M145" s="48">
        <v>-38</v>
      </c>
    </row>
    <row r="146" spans="9:13" ht="12.75">
      <c r="I146" s="48">
        <v>3</v>
      </c>
      <c r="K146" s="48">
        <v>2</v>
      </c>
      <c r="M146" s="48">
        <v>-18</v>
      </c>
    </row>
    <row r="147" ht="12.75">
      <c r="I147" s="48">
        <v>4</v>
      </c>
    </row>
    <row r="148" ht="12.75">
      <c r="I148" s="48">
        <v>5</v>
      </c>
    </row>
    <row r="149" ht="12.75">
      <c r="I149" s="48">
        <v>6</v>
      </c>
    </row>
    <row r="150" ht="12.75">
      <c r="I150" s="48">
        <v>7</v>
      </c>
    </row>
    <row r="151" ht="12.75">
      <c r="I151" s="48">
        <v>8</v>
      </c>
    </row>
    <row r="152" ht="12.75">
      <c r="I152" s="48">
        <v>9</v>
      </c>
    </row>
    <row r="153" ht="12.75">
      <c r="I153" s="48">
        <v>10</v>
      </c>
    </row>
    <row r="154" ht="12.75">
      <c r="I154" s="48">
        <v>11</v>
      </c>
    </row>
    <row r="155" ht="12.75">
      <c r="I155" s="48">
        <v>12</v>
      </c>
    </row>
    <row r="156" ht="12.75">
      <c r="I156" s="48">
        <v>13</v>
      </c>
    </row>
    <row r="157" ht="12.75">
      <c r="I157" s="48">
        <v>14</v>
      </c>
    </row>
    <row r="158" ht="12.75">
      <c r="I158" s="48">
        <v>15</v>
      </c>
    </row>
    <row r="159" ht="12.75">
      <c r="I159" s="48">
        <v>16</v>
      </c>
    </row>
    <row r="160" ht="12.75">
      <c r="I160" s="48">
        <v>17</v>
      </c>
    </row>
    <row r="161" ht="12.75">
      <c r="I161" s="48">
        <v>18</v>
      </c>
    </row>
    <row r="162" ht="12.75">
      <c r="I162" s="48">
        <v>19</v>
      </c>
    </row>
    <row r="163" ht="12.75">
      <c r="I163" s="48">
        <v>20</v>
      </c>
    </row>
    <row r="164" spans="9:10" ht="12.75">
      <c r="I164" s="48">
        <v>1</v>
      </c>
      <c r="J164" s="48" t="s">
        <v>656</v>
      </c>
    </row>
    <row r="165" ht="12.75">
      <c r="I165" s="48">
        <v>2</v>
      </c>
    </row>
    <row r="166" ht="12.75">
      <c r="I166" s="48">
        <v>3</v>
      </c>
    </row>
    <row r="167" ht="12.75">
      <c r="I167" s="48">
        <v>4</v>
      </c>
    </row>
    <row r="168" ht="12.75">
      <c r="I168" s="48">
        <v>5</v>
      </c>
    </row>
    <row r="169" ht="12.75">
      <c r="I169" s="48">
        <v>6</v>
      </c>
    </row>
    <row r="170" ht="12.75">
      <c r="I170" s="48">
        <v>7</v>
      </c>
    </row>
    <row r="171" ht="12.75">
      <c r="I171" s="48">
        <v>8</v>
      </c>
    </row>
    <row r="172" ht="12.75">
      <c r="I172" s="48">
        <v>9</v>
      </c>
    </row>
    <row r="173" ht="12.75">
      <c r="I173" s="48">
        <v>10</v>
      </c>
    </row>
    <row r="174" ht="12.75">
      <c r="I174" s="48">
        <v>11</v>
      </c>
    </row>
    <row r="175" ht="12.75">
      <c r="I175" s="48">
        <v>12</v>
      </c>
    </row>
    <row r="176" ht="12.75">
      <c r="I176" s="48">
        <v>13</v>
      </c>
    </row>
    <row r="177" ht="12.75">
      <c r="I177" s="48">
        <v>14</v>
      </c>
    </row>
    <row r="178" ht="12.75">
      <c r="I178" s="48">
        <v>15</v>
      </c>
    </row>
    <row r="179" ht="12.75">
      <c r="I179" s="48">
        <v>16</v>
      </c>
    </row>
    <row r="180" ht="12.75">
      <c r="I180" s="48">
        <v>17</v>
      </c>
    </row>
    <row r="181" ht="12.75">
      <c r="I181" s="48">
        <v>18</v>
      </c>
    </row>
    <row r="182" ht="12.75">
      <c r="I182" s="48">
        <v>19</v>
      </c>
    </row>
    <row r="183" ht="12.75">
      <c r="I183" s="48">
        <v>20</v>
      </c>
    </row>
    <row r="184" spans="9:10" ht="12.75">
      <c r="I184" s="48">
        <v>1</v>
      </c>
      <c r="J184" s="48" t="s">
        <v>601</v>
      </c>
    </row>
    <row r="185" spans="9:13" ht="12.75">
      <c r="I185" s="48">
        <v>2</v>
      </c>
      <c r="J185" s="48">
        <v>-1</v>
      </c>
      <c r="K185" s="48">
        <v>6</v>
      </c>
      <c r="M185" s="48">
        <v>244</v>
      </c>
    </row>
    <row r="186" spans="9:13" ht="12.75">
      <c r="I186" s="48">
        <v>3</v>
      </c>
      <c r="J186" s="48">
        <v>1</v>
      </c>
      <c r="K186" s="48">
        <v>4</v>
      </c>
      <c r="M186" s="48">
        <v>59</v>
      </c>
    </row>
    <row r="187" spans="9:13" ht="12.75">
      <c r="I187" s="48">
        <v>4</v>
      </c>
      <c r="K187" s="48">
        <v>6</v>
      </c>
      <c r="M187" s="48">
        <v>76</v>
      </c>
    </row>
    <row r="188" spans="9:13" ht="12.75">
      <c r="I188" s="48">
        <v>5</v>
      </c>
      <c r="K188" s="48">
        <v>8</v>
      </c>
      <c r="M188" s="48">
        <v>92</v>
      </c>
    </row>
    <row r="189" ht="12.75">
      <c r="I189" s="48">
        <v>6</v>
      </c>
    </row>
    <row r="190" ht="12.75">
      <c r="I190" s="48">
        <v>7</v>
      </c>
    </row>
    <row r="191" ht="12.75">
      <c r="I191" s="48">
        <v>8</v>
      </c>
    </row>
    <row r="192" ht="12.75">
      <c r="I192" s="48">
        <v>9</v>
      </c>
    </row>
    <row r="193" ht="12.75">
      <c r="I193" s="48">
        <v>10</v>
      </c>
    </row>
    <row r="194" ht="12.75">
      <c r="I194" s="48">
        <v>11</v>
      </c>
    </row>
    <row r="195" ht="12.75">
      <c r="I195" s="48">
        <v>12</v>
      </c>
    </row>
    <row r="196" ht="12.75">
      <c r="I196" s="48">
        <v>13</v>
      </c>
    </row>
    <row r="197" ht="12.75">
      <c r="I197" s="48">
        <v>14</v>
      </c>
    </row>
    <row r="198" ht="12.75">
      <c r="I198" s="48">
        <v>15</v>
      </c>
    </row>
    <row r="199" ht="12.75">
      <c r="I199" s="48">
        <v>16</v>
      </c>
    </row>
    <row r="200" ht="12.75">
      <c r="I200" s="48">
        <v>17</v>
      </c>
    </row>
    <row r="201" ht="12.75">
      <c r="I201" s="48">
        <v>18</v>
      </c>
    </row>
    <row r="202" ht="12.75">
      <c r="I202" s="48">
        <v>19</v>
      </c>
    </row>
    <row r="203" ht="12.75">
      <c r="I203" s="48">
        <v>20</v>
      </c>
    </row>
    <row r="204" spans="9:10" ht="12.75">
      <c r="I204" s="48">
        <v>1</v>
      </c>
      <c r="J204" s="48" t="s">
        <v>637</v>
      </c>
    </row>
    <row r="205" spans="9:13" ht="12.75">
      <c r="I205" s="48">
        <v>2</v>
      </c>
      <c r="J205" s="48">
        <v>2</v>
      </c>
      <c r="K205" s="48">
        <v>3</v>
      </c>
      <c r="M205" s="48">
        <v>16</v>
      </c>
    </row>
    <row r="206" spans="9:13" ht="12.75">
      <c r="I206" s="48">
        <v>3</v>
      </c>
      <c r="K206" s="48">
        <v>4</v>
      </c>
      <c r="M206" s="48">
        <v>27</v>
      </c>
    </row>
    <row r="207" spans="9:13" ht="12.75">
      <c r="I207" s="48">
        <v>4</v>
      </c>
      <c r="K207" s="48">
        <v>6</v>
      </c>
      <c r="M207" s="48">
        <v>45</v>
      </c>
    </row>
    <row r="208" ht="12.75">
      <c r="I208" s="48">
        <v>5</v>
      </c>
    </row>
    <row r="209" ht="12.75">
      <c r="I209" s="48">
        <v>6</v>
      </c>
    </row>
    <row r="210" ht="12.75">
      <c r="I210" s="48">
        <v>7</v>
      </c>
    </row>
    <row r="211" ht="12.75">
      <c r="I211" s="48">
        <v>8</v>
      </c>
    </row>
    <row r="212" ht="12.75">
      <c r="I212" s="48">
        <v>9</v>
      </c>
    </row>
    <row r="213" ht="12.75">
      <c r="I213" s="48">
        <v>10</v>
      </c>
    </row>
    <row r="214" ht="12.75">
      <c r="I214" s="48">
        <v>11</v>
      </c>
    </row>
    <row r="215" ht="12.75">
      <c r="I215" s="48">
        <v>12</v>
      </c>
    </row>
    <row r="216" ht="12.75">
      <c r="I216" s="48">
        <v>13</v>
      </c>
    </row>
    <row r="217" ht="12.75">
      <c r="I217" s="48">
        <v>14</v>
      </c>
    </row>
    <row r="218" ht="12.75">
      <c r="I218" s="48">
        <v>15</v>
      </c>
    </row>
    <row r="219" ht="12.75">
      <c r="I219" s="48">
        <v>16</v>
      </c>
    </row>
    <row r="220" ht="12.75">
      <c r="I220" s="48">
        <v>17</v>
      </c>
    </row>
    <row r="221" ht="12.75">
      <c r="I221" s="48">
        <v>18</v>
      </c>
    </row>
    <row r="222" ht="12.75">
      <c r="I222" s="48">
        <v>19</v>
      </c>
    </row>
    <row r="223" ht="12.75">
      <c r="I223" s="48">
        <v>20</v>
      </c>
    </row>
    <row r="224" spans="9:10" ht="12.75">
      <c r="I224" s="48">
        <v>1</v>
      </c>
      <c r="J224" s="48" t="s">
        <v>638</v>
      </c>
    </row>
    <row r="225" spans="9:13" ht="12.75">
      <c r="I225" s="48">
        <v>2</v>
      </c>
      <c r="J225" s="48">
        <v>3</v>
      </c>
      <c r="K225" s="48">
        <v>3</v>
      </c>
      <c r="M225" s="48">
        <v>15</v>
      </c>
    </row>
    <row r="226" spans="9:13" ht="12.75">
      <c r="I226" s="48">
        <v>3</v>
      </c>
      <c r="K226" s="48">
        <v>4</v>
      </c>
      <c r="M226" s="48">
        <v>11</v>
      </c>
    </row>
    <row r="227" spans="9:13" ht="12.75">
      <c r="I227" s="48">
        <v>4</v>
      </c>
      <c r="K227" s="48">
        <v>6</v>
      </c>
      <c r="M227" s="48">
        <v>27</v>
      </c>
    </row>
    <row r="228" ht="12.75">
      <c r="I228" s="48">
        <v>5</v>
      </c>
    </row>
    <row r="229" ht="12.75">
      <c r="I229" s="48">
        <v>6</v>
      </c>
    </row>
    <row r="230" ht="12.75">
      <c r="I230" s="48">
        <v>7</v>
      </c>
    </row>
    <row r="231" ht="12.75">
      <c r="I231" s="48">
        <v>8</v>
      </c>
    </row>
    <row r="232" ht="12.75">
      <c r="I232" s="48">
        <v>9</v>
      </c>
    </row>
    <row r="233" ht="12.75">
      <c r="I233" s="48">
        <v>10</v>
      </c>
    </row>
    <row r="234" ht="12.75">
      <c r="I234" s="48">
        <v>11</v>
      </c>
    </row>
    <row r="235" ht="12.75">
      <c r="I235" s="48">
        <v>12</v>
      </c>
    </row>
    <row r="236" ht="12.75">
      <c r="I236" s="48">
        <v>13</v>
      </c>
    </row>
    <row r="237" ht="12.75">
      <c r="I237" s="48">
        <v>14</v>
      </c>
    </row>
    <row r="238" ht="12.75">
      <c r="I238" s="48">
        <v>15</v>
      </c>
    </row>
    <row r="239" ht="12.75">
      <c r="I239" s="48">
        <v>16</v>
      </c>
    </row>
    <row r="240" ht="12.75">
      <c r="I240" s="48">
        <v>17</v>
      </c>
    </row>
    <row r="241" ht="12.75">
      <c r="I241" s="48">
        <v>18</v>
      </c>
    </row>
    <row r="242" ht="12.75">
      <c r="I242" s="48">
        <v>19</v>
      </c>
    </row>
    <row r="243" ht="12.75">
      <c r="I243" s="48">
        <v>20</v>
      </c>
    </row>
    <row r="244" spans="9:10" ht="12.75">
      <c r="I244" s="48">
        <v>1</v>
      </c>
      <c r="J244" s="48" t="s">
        <v>630</v>
      </c>
    </row>
    <row r="245" spans="9:13" ht="12.75">
      <c r="I245" s="48">
        <v>2</v>
      </c>
      <c r="J245" s="48">
        <v>4</v>
      </c>
      <c r="K245" s="48">
        <v>3</v>
      </c>
      <c r="M245" s="48">
        <v>-8</v>
      </c>
    </row>
    <row r="246" spans="9:13" ht="12.75">
      <c r="I246" s="48">
        <v>3</v>
      </c>
      <c r="K246" s="48">
        <v>4</v>
      </c>
      <c r="M246" s="48">
        <v>15</v>
      </c>
    </row>
    <row r="247" spans="9:13" ht="12.75">
      <c r="I247" s="48">
        <v>4</v>
      </c>
      <c r="K247" s="48">
        <v>6</v>
      </c>
      <c r="M247" s="48">
        <v>16</v>
      </c>
    </row>
    <row r="248" ht="12.75">
      <c r="I248" s="48">
        <v>5</v>
      </c>
    </row>
    <row r="249" ht="12.75">
      <c r="I249" s="48">
        <v>6</v>
      </c>
    </row>
    <row r="250" ht="12.75">
      <c r="I250" s="48">
        <v>7</v>
      </c>
    </row>
    <row r="251" ht="12.75">
      <c r="I251" s="48">
        <v>8</v>
      </c>
    </row>
    <row r="252" ht="12.75">
      <c r="I252" s="48">
        <v>9</v>
      </c>
    </row>
    <row r="253" ht="12.75">
      <c r="I253" s="48">
        <v>10</v>
      </c>
    </row>
    <row r="254" ht="12.75">
      <c r="I254" s="48">
        <v>11</v>
      </c>
    </row>
    <row r="255" ht="12.75">
      <c r="I255" s="48">
        <v>12</v>
      </c>
    </row>
    <row r="256" ht="12.75">
      <c r="I256" s="48">
        <v>13</v>
      </c>
    </row>
    <row r="257" ht="12.75">
      <c r="I257" s="48">
        <v>14</v>
      </c>
    </row>
    <row r="258" ht="12.75">
      <c r="I258" s="48">
        <v>15</v>
      </c>
    </row>
    <row r="259" ht="12.75">
      <c r="I259" s="48">
        <v>16</v>
      </c>
    </row>
    <row r="260" ht="12.75">
      <c r="I260" s="48">
        <v>17</v>
      </c>
    </row>
    <row r="261" ht="12.75">
      <c r="I261" s="48">
        <v>18</v>
      </c>
    </row>
    <row r="262" ht="12.75">
      <c r="I262" s="48">
        <v>19</v>
      </c>
    </row>
    <row r="263" ht="12.75">
      <c r="I263" s="48">
        <v>20</v>
      </c>
    </row>
    <row r="264" spans="9:10" ht="12.75">
      <c r="I264" s="48">
        <v>1</v>
      </c>
      <c r="J264" s="48" t="s">
        <v>622</v>
      </c>
    </row>
    <row r="265" spans="9:13" ht="12.75">
      <c r="I265" s="48">
        <v>2</v>
      </c>
      <c r="J265" s="48">
        <v>-3</v>
      </c>
      <c r="K265" s="48">
        <v>4</v>
      </c>
      <c r="M265" s="48">
        <v>146</v>
      </c>
    </row>
    <row r="266" spans="9:13" ht="12.75">
      <c r="I266" s="48">
        <v>3</v>
      </c>
      <c r="J266" s="48">
        <v>3</v>
      </c>
      <c r="K266" s="48">
        <v>6</v>
      </c>
      <c r="M266" s="48">
        <v>16</v>
      </c>
    </row>
    <row r="267" spans="9:13" ht="12.75">
      <c r="I267" s="48">
        <v>4</v>
      </c>
      <c r="J267" s="48">
        <v>5</v>
      </c>
      <c r="K267" s="48">
        <v>3</v>
      </c>
      <c r="M267" s="48">
        <v>-10.4</v>
      </c>
    </row>
    <row r="268" spans="9:13" ht="12.75">
      <c r="I268" s="48">
        <v>5</v>
      </c>
      <c r="K268" s="48">
        <v>6</v>
      </c>
      <c r="M268" s="48">
        <v>13</v>
      </c>
    </row>
    <row r="269" ht="12.75">
      <c r="I269" s="48">
        <v>6</v>
      </c>
    </row>
    <row r="270" ht="12.75">
      <c r="I270" s="48">
        <v>7</v>
      </c>
    </row>
    <row r="271" ht="12.75">
      <c r="I271" s="48">
        <v>8</v>
      </c>
    </row>
    <row r="272" ht="12.75">
      <c r="I272" s="48">
        <v>9</v>
      </c>
    </row>
    <row r="273" ht="12.75">
      <c r="I273" s="48">
        <v>10</v>
      </c>
    </row>
    <row r="274" ht="12.75">
      <c r="I274" s="48">
        <v>11</v>
      </c>
    </row>
    <row r="275" ht="12.75">
      <c r="I275" s="48">
        <v>12</v>
      </c>
    </row>
    <row r="276" ht="12.75">
      <c r="I276" s="48">
        <v>13</v>
      </c>
    </row>
    <row r="277" ht="12.75">
      <c r="I277" s="48">
        <v>14</v>
      </c>
    </row>
    <row r="278" ht="12.75">
      <c r="I278" s="48">
        <v>15</v>
      </c>
    </row>
    <row r="279" ht="12.75">
      <c r="I279" s="48">
        <v>16</v>
      </c>
    </row>
    <row r="280" ht="12.75">
      <c r="I280" s="48">
        <v>17</v>
      </c>
    </row>
    <row r="281" ht="12.75">
      <c r="I281" s="48">
        <v>18</v>
      </c>
    </row>
    <row r="282" ht="12.75">
      <c r="I282" s="48">
        <v>19</v>
      </c>
    </row>
    <row r="283" ht="12.75">
      <c r="I283" s="48">
        <v>20</v>
      </c>
    </row>
    <row r="284" spans="9:10" ht="12.75">
      <c r="I284" s="48">
        <v>1</v>
      </c>
      <c r="J284" s="48" t="s">
        <v>571</v>
      </c>
    </row>
    <row r="285" spans="9:13" ht="12.75">
      <c r="I285" s="48">
        <v>2</v>
      </c>
      <c r="J285" s="48">
        <v>-2</v>
      </c>
      <c r="K285" s="48">
        <v>2</v>
      </c>
      <c r="M285" s="48">
        <v>135</v>
      </c>
    </row>
    <row r="286" spans="9:13" ht="12.75">
      <c r="I286" s="48">
        <v>3</v>
      </c>
      <c r="K286" s="48">
        <v>3</v>
      </c>
      <c r="M286" s="48">
        <v>136</v>
      </c>
    </row>
    <row r="287" spans="9:13" ht="12.75">
      <c r="I287" s="48">
        <v>4</v>
      </c>
      <c r="K287" s="48">
        <v>4</v>
      </c>
      <c r="M287" s="48">
        <v>138</v>
      </c>
    </row>
    <row r="288" spans="9:13" ht="12.75">
      <c r="I288" s="48">
        <v>5</v>
      </c>
      <c r="K288" s="48">
        <v>6</v>
      </c>
      <c r="M288" s="48">
        <v>140</v>
      </c>
    </row>
    <row r="289" spans="9:13" ht="12.75">
      <c r="I289" s="48">
        <v>6</v>
      </c>
      <c r="K289" s="48">
        <v>8</v>
      </c>
      <c r="M289" s="48">
        <v>142</v>
      </c>
    </row>
    <row r="290" ht="12.75">
      <c r="I290" s="48">
        <v>7</v>
      </c>
    </row>
    <row r="291" ht="12.75">
      <c r="I291" s="48">
        <v>8</v>
      </c>
    </row>
    <row r="292" ht="12.75">
      <c r="I292" s="48">
        <v>9</v>
      </c>
    </row>
    <row r="293" ht="12.75">
      <c r="I293" s="48">
        <v>10</v>
      </c>
    </row>
    <row r="294" ht="12.75">
      <c r="I294" s="48">
        <v>11</v>
      </c>
    </row>
    <row r="295" ht="12.75">
      <c r="I295" s="48">
        <v>12</v>
      </c>
    </row>
    <row r="296" ht="12.75">
      <c r="I296" s="48">
        <v>13</v>
      </c>
    </row>
    <row r="297" ht="12.75">
      <c r="I297" s="48">
        <v>14</v>
      </c>
    </row>
    <row r="298" ht="12.75">
      <c r="I298" s="48">
        <v>15</v>
      </c>
    </row>
    <row r="299" ht="12.75">
      <c r="I299" s="48">
        <v>16</v>
      </c>
    </row>
    <row r="300" ht="12.75">
      <c r="I300" s="48">
        <v>17</v>
      </c>
    </row>
    <row r="301" ht="12.75">
      <c r="I301" s="48">
        <v>18</v>
      </c>
    </row>
    <row r="302" ht="12.75">
      <c r="I302" s="48">
        <v>19</v>
      </c>
    </row>
    <row r="303" ht="12.75">
      <c r="I303" s="48">
        <v>20</v>
      </c>
    </row>
    <row r="304" spans="9:10" ht="12.75">
      <c r="I304" s="48">
        <v>1</v>
      </c>
      <c r="J304" s="48" t="s">
        <v>602</v>
      </c>
    </row>
    <row r="305" spans="9:13" ht="12.75">
      <c r="I305" s="48">
        <v>2</v>
      </c>
      <c r="J305" s="48">
        <v>-1</v>
      </c>
      <c r="K305" s="48">
        <v>2</v>
      </c>
      <c r="M305" s="48">
        <v>128.5</v>
      </c>
    </row>
    <row r="306" spans="9:13" ht="12.75">
      <c r="I306" s="48">
        <v>3</v>
      </c>
      <c r="K306" s="48">
        <v>3</v>
      </c>
      <c r="M306" s="48">
        <v>130</v>
      </c>
    </row>
    <row r="307" spans="9:13" ht="12.75">
      <c r="I307" s="48">
        <v>4</v>
      </c>
      <c r="K307" s="48">
        <v>4</v>
      </c>
      <c r="M307" s="48">
        <v>131</v>
      </c>
    </row>
    <row r="308" spans="9:13" ht="12.75">
      <c r="I308" s="48">
        <v>5</v>
      </c>
      <c r="K308" s="48">
        <v>6</v>
      </c>
      <c r="M308" s="48">
        <v>133</v>
      </c>
    </row>
    <row r="309" spans="9:13" ht="12.75">
      <c r="I309" s="48">
        <v>6</v>
      </c>
      <c r="J309" s="48">
        <v>7</v>
      </c>
      <c r="K309" s="48">
        <v>6</v>
      </c>
      <c r="M309" s="48">
        <v>8</v>
      </c>
    </row>
    <row r="310" ht="12.75">
      <c r="I310" s="48">
        <v>7</v>
      </c>
    </row>
    <row r="311" ht="12.75">
      <c r="I311" s="48">
        <v>8</v>
      </c>
    </row>
    <row r="312" ht="12.75">
      <c r="I312" s="48">
        <v>9</v>
      </c>
    </row>
    <row r="313" ht="12.75">
      <c r="I313" s="48">
        <v>10</v>
      </c>
    </row>
    <row r="314" ht="12.75">
      <c r="I314" s="48">
        <v>11</v>
      </c>
    </row>
    <row r="315" ht="12.75">
      <c r="I315" s="48">
        <v>12</v>
      </c>
    </row>
    <row r="316" ht="12.75">
      <c r="I316" s="48">
        <v>13</v>
      </c>
    </row>
    <row r="317" ht="12.75">
      <c r="I317" s="48">
        <v>14</v>
      </c>
    </row>
    <row r="318" ht="12.75">
      <c r="I318" s="48">
        <v>15</v>
      </c>
    </row>
    <row r="319" ht="12.75">
      <c r="I319" s="48">
        <v>16</v>
      </c>
    </row>
    <row r="320" ht="12.75">
      <c r="I320" s="48">
        <v>17</v>
      </c>
    </row>
    <row r="321" ht="12.75">
      <c r="I321" s="48">
        <v>18</v>
      </c>
    </row>
    <row r="322" ht="12.75">
      <c r="I322" s="48">
        <v>19</v>
      </c>
    </row>
    <row r="323" ht="12.75">
      <c r="I323" s="48">
        <v>20</v>
      </c>
    </row>
    <row r="324" spans="9:10" ht="12.75">
      <c r="I324" s="48">
        <v>1</v>
      </c>
      <c r="J324" s="48" t="s">
        <v>657</v>
      </c>
    </row>
    <row r="325" ht="12.75">
      <c r="I325" s="48">
        <v>2</v>
      </c>
    </row>
    <row r="326" ht="12.75">
      <c r="I326" s="48">
        <v>3</v>
      </c>
    </row>
    <row r="327" ht="12.75">
      <c r="I327" s="48">
        <v>4</v>
      </c>
    </row>
    <row r="328" ht="12.75">
      <c r="I328" s="48">
        <v>5</v>
      </c>
    </row>
    <row r="329" ht="12.75">
      <c r="I329" s="48">
        <v>6</v>
      </c>
    </row>
    <row r="330" ht="12.75">
      <c r="I330" s="48">
        <v>7</v>
      </c>
    </row>
    <row r="331" ht="12.75">
      <c r="I331" s="48">
        <v>8</v>
      </c>
    </row>
    <row r="332" ht="12.75">
      <c r="I332" s="48">
        <v>9</v>
      </c>
    </row>
    <row r="333" ht="12.75">
      <c r="I333" s="48">
        <v>10</v>
      </c>
    </row>
    <row r="334" ht="12.75">
      <c r="I334" s="48">
        <v>11</v>
      </c>
    </row>
    <row r="335" ht="12.75">
      <c r="I335" s="48">
        <v>12</v>
      </c>
    </row>
    <row r="336" ht="12.75">
      <c r="I336" s="48">
        <v>13</v>
      </c>
    </row>
    <row r="337" ht="12.75">
      <c r="I337" s="48">
        <v>14</v>
      </c>
    </row>
    <row r="338" ht="12.75">
      <c r="I338" s="48">
        <v>15</v>
      </c>
    </row>
    <row r="339" ht="12.75">
      <c r="I339" s="48">
        <v>16</v>
      </c>
    </row>
    <row r="340" ht="12.75">
      <c r="I340" s="48">
        <v>17</v>
      </c>
    </row>
    <row r="341" ht="12.75">
      <c r="I341" s="48">
        <v>18</v>
      </c>
    </row>
    <row r="342" ht="12.75">
      <c r="I342" s="48">
        <v>19</v>
      </c>
    </row>
    <row r="343" ht="12.75">
      <c r="I343" s="48">
        <v>20</v>
      </c>
    </row>
    <row r="344" spans="9:10" ht="12.75">
      <c r="I344" s="48">
        <v>1</v>
      </c>
      <c r="J344" s="48" t="s">
        <v>607</v>
      </c>
    </row>
    <row r="345" spans="9:13" ht="12.75">
      <c r="I345" s="48">
        <v>2</v>
      </c>
      <c r="J345" s="48">
        <v>-1</v>
      </c>
      <c r="K345" s="48">
        <v>6</v>
      </c>
      <c r="M345" s="48">
        <v>277</v>
      </c>
    </row>
    <row r="346" spans="9:13" ht="12.75">
      <c r="I346" s="48">
        <v>3</v>
      </c>
      <c r="J346" s="48">
        <v>1</v>
      </c>
      <c r="K346" s="48">
        <v>4</v>
      </c>
      <c r="M346" s="48">
        <v>99</v>
      </c>
    </row>
    <row r="347" spans="9:13" ht="12.75">
      <c r="I347" s="48">
        <v>4</v>
      </c>
      <c r="K347" s="48">
        <v>5</v>
      </c>
      <c r="M347" s="48">
        <v>100</v>
      </c>
    </row>
    <row r="348" spans="9:13" ht="12.75">
      <c r="I348" s="48">
        <v>5</v>
      </c>
      <c r="K348" s="48">
        <v>6</v>
      </c>
      <c r="M348" s="48">
        <v>102</v>
      </c>
    </row>
    <row r="349" spans="9:13" ht="12.75">
      <c r="I349" s="48">
        <v>6</v>
      </c>
      <c r="K349" s="48">
        <v>7</v>
      </c>
      <c r="M349" s="48">
        <v>112</v>
      </c>
    </row>
    <row r="350" spans="9:13" ht="12.75">
      <c r="I350" s="48">
        <v>7</v>
      </c>
      <c r="K350" s="48">
        <v>8</v>
      </c>
      <c r="M350" s="48">
        <v>118</v>
      </c>
    </row>
    <row r="351" spans="9:13" ht="12.75">
      <c r="I351" s="48">
        <v>8</v>
      </c>
      <c r="K351" s="48">
        <v>9</v>
      </c>
      <c r="M351" s="48">
        <v>124</v>
      </c>
    </row>
    <row r="352" spans="9:13" ht="12.75">
      <c r="I352" s="48">
        <v>9</v>
      </c>
      <c r="K352" s="48">
        <v>12</v>
      </c>
      <c r="M352" s="48">
        <v>139</v>
      </c>
    </row>
    <row r="353" ht="12.75">
      <c r="I353" s="48">
        <v>10</v>
      </c>
    </row>
    <row r="354" ht="12.75">
      <c r="I354" s="48">
        <v>11</v>
      </c>
    </row>
    <row r="355" ht="12.75">
      <c r="I355" s="48">
        <v>12</v>
      </c>
    </row>
    <row r="356" ht="12.75">
      <c r="I356" s="48">
        <v>13</v>
      </c>
    </row>
    <row r="357" ht="12.75">
      <c r="I357" s="48">
        <v>14</v>
      </c>
    </row>
    <row r="358" ht="12.75">
      <c r="I358" s="48">
        <v>15</v>
      </c>
    </row>
    <row r="359" ht="12.75">
      <c r="I359" s="48">
        <v>16</v>
      </c>
    </row>
    <row r="360" ht="12.75">
      <c r="I360" s="48">
        <v>17</v>
      </c>
    </row>
    <row r="361" ht="12.75">
      <c r="I361" s="48">
        <v>18</v>
      </c>
    </row>
    <row r="362" ht="12.75">
      <c r="I362" s="48">
        <v>19</v>
      </c>
    </row>
    <row r="363" ht="12.75">
      <c r="I363" s="48">
        <v>20</v>
      </c>
    </row>
    <row r="364" spans="9:10" ht="12.75">
      <c r="I364" s="48">
        <v>1</v>
      </c>
      <c r="J364" s="48" t="s">
        <v>618</v>
      </c>
    </row>
    <row r="365" spans="9:13" ht="12.75">
      <c r="I365" s="48">
        <v>2</v>
      </c>
      <c r="J365" s="48">
        <v>2</v>
      </c>
      <c r="K365" s="48">
        <v>4</v>
      </c>
      <c r="M365" s="48">
        <v>57</v>
      </c>
    </row>
    <row r="366" spans="9:13" ht="12.75">
      <c r="I366" s="48">
        <v>3</v>
      </c>
      <c r="K366" s="48">
        <v>5</v>
      </c>
      <c r="M366" s="48">
        <v>66</v>
      </c>
    </row>
    <row r="367" spans="9:13" ht="12.75">
      <c r="I367" s="48">
        <v>4</v>
      </c>
      <c r="K367" s="48">
        <v>6</v>
      </c>
      <c r="M367" s="48">
        <v>72</v>
      </c>
    </row>
    <row r="368" spans="9:13" ht="12.75">
      <c r="I368" s="48">
        <v>5</v>
      </c>
      <c r="K368" s="48">
        <v>8</v>
      </c>
      <c r="M368" s="48">
        <v>89</v>
      </c>
    </row>
    <row r="369" ht="12.75">
      <c r="I369" s="48">
        <v>6</v>
      </c>
    </row>
    <row r="370" ht="12.75">
      <c r="I370" s="48">
        <v>7</v>
      </c>
    </row>
    <row r="371" ht="12.75">
      <c r="I371" s="48">
        <v>8</v>
      </c>
    </row>
    <row r="372" ht="12.75">
      <c r="I372" s="48">
        <v>9</v>
      </c>
    </row>
    <row r="373" ht="12.75">
      <c r="I373" s="48">
        <v>10</v>
      </c>
    </row>
    <row r="374" ht="12.75">
      <c r="I374" s="48">
        <v>11</v>
      </c>
    </row>
    <row r="375" ht="12.75">
      <c r="I375" s="48">
        <v>12</v>
      </c>
    </row>
    <row r="376" ht="12.75">
      <c r="I376" s="48">
        <v>13</v>
      </c>
    </row>
    <row r="377" ht="12.75">
      <c r="I377" s="48">
        <v>14</v>
      </c>
    </row>
    <row r="378" ht="12.75">
      <c r="I378" s="48">
        <v>15</v>
      </c>
    </row>
    <row r="379" ht="12.75">
      <c r="I379" s="48">
        <v>16</v>
      </c>
    </row>
    <row r="380" ht="12.75">
      <c r="I380" s="48">
        <v>17</v>
      </c>
    </row>
    <row r="381" ht="12.75">
      <c r="I381" s="48">
        <v>18</v>
      </c>
    </row>
    <row r="382" ht="12.75">
      <c r="I382" s="48">
        <v>19</v>
      </c>
    </row>
    <row r="383" ht="12.75">
      <c r="I383" s="48">
        <v>20</v>
      </c>
    </row>
    <row r="384" spans="9:10" ht="12.75">
      <c r="I384" s="48">
        <v>1</v>
      </c>
      <c r="J384" s="48" t="s">
        <v>640</v>
      </c>
    </row>
    <row r="385" spans="9:13" ht="12.75">
      <c r="I385" s="48">
        <v>2</v>
      </c>
      <c r="J385" s="48">
        <v>3</v>
      </c>
      <c r="K385" s="48">
        <v>4</v>
      </c>
      <c r="M385" s="48">
        <v>39</v>
      </c>
    </row>
    <row r="386" spans="9:13" ht="12.75">
      <c r="I386" s="48">
        <v>3</v>
      </c>
      <c r="K386" s="48">
        <v>5</v>
      </c>
      <c r="M386" s="48">
        <v>48</v>
      </c>
    </row>
    <row r="387" spans="9:13" ht="12.75">
      <c r="I387" s="48">
        <v>4</v>
      </c>
      <c r="K387" s="48">
        <v>6</v>
      </c>
      <c r="M387" s="48">
        <v>53.5</v>
      </c>
    </row>
    <row r="388" ht="12.75">
      <c r="I388" s="48">
        <v>5</v>
      </c>
    </row>
    <row r="389" ht="12.75">
      <c r="I389" s="48">
        <v>6</v>
      </c>
    </row>
    <row r="390" ht="12.75">
      <c r="I390" s="48">
        <v>7</v>
      </c>
    </row>
    <row r="391" ht="12.75">
      <c r="I391" s="48">
        <v>8</v>
      </c>
    </row>
    <row r="392" ht="12.75">
      <c r="I392" s="48">
        <v>9</v>
      </c>
    </row>
    <row r="393" ht="12.75">
      <c r="I393" s="48">
        <v>10</v>
      </c>
    </row>
    <row r="394" ht="12.75">
      <c r="I394" s="48">
        <v>11</v>
      </c>
    </row>
    <row r="395" ht="12.75">
      <c r="I395" s="48">
        <v>12</v>
      </c>
    </row>
    <row r="396" ht="12.75">
      <c r="I396" s="48">
        <v>13</v>
      </c>
    </row>
    <row r="397" ht="12.75">
      <c r="I397" s="48">
        <v>14</v>
      </c>
    </row>
    <row r="398" ht="12.75">
      <c r="I398" s="48">
        <v>15</v>
      </c>
    </row>
    <row r="399" ht="12.75">
      <c r="I399" s="48">
        <v>16</v>
      </c>
    </row>
    <row r="400" ht="12.75">
      <c r="I400" s="48">
        <v>17</v>
      </c>
    </row>
    <row r="401" ht="12.75">
      <c r="I401" s="48">
        <v>18</v>
      </c>
    </row>
    <row r="402" ht="12.75">
      <c r="I402" s="48">
        <v>19</v>
      </c>
    </row>
    <row r="403" ht="12.75">
      <c r="I403" s="48">
        <v>20</v>
      </c>
    </row>
    <row r="404" spans="9:10" ht="12.75">
      <c r="I404" s="48">
        <v>1</v>
      </c>
      <c r="J404" s="48" t="s">
        <v>649</v>
      </c>
    </row>
    <row r="405" spans="9:13" ht="12.75">
      <c r="I405" s="48">
        <v>2</v>
      </c>
      <c r="J405" s="48">
        <v>4</v>
      </c>
      <c r="K405" s="48">
        <v>4</v>
      </c>
      <c r="M405" s="48">
        <v>26</v>
      </c>
    </row>
    <row r="406" spans="9:13" ht="12.75">
      <c r="I406" s="48">
        <v>3</v>
      </c>
      <c r="K406" s="48">
        <v>6</v>
      </c>
      <c r="M406" s="48">
        <v>40</v>
      </c>
    </row>
    <row r="407" ht="12.75">
      <c r="I407" s="48">
        <v>4</v>
      </c>
    </row>
    <row r="408" ht="12.75">
      <c r="I408" s="48">
        <v>5</v>
      </c>
    </row>
    <row r="409" ht="12.75">
      <c r="I409" s="48">
        <v>6</v>
      </c>
    </row>
    <row r="410" ht="12.75">
      <c r="I410" s="48">
        <v>7</v>
      </c>
    </row>
    <row r="411" ht="12.75">
      <c r="I411" s="48">
        <v>8</v>
      </c>
    </row>
    <row r="412" ht="12.75">
      <c r="I412" s="48">
        <v>9</v>
      </c>
    </row>
    <row r="413" ht="12.75">
      <c r="I413" s="48">
        <v>10</v>
      </c>
    </row>
    <row r="414" ht="12.75">
      <c r="I414" s="48">
        <v>11</v>
      </c>
    </row>
    <row r="415" ht="12.75">
      <c r="I415" s="48">
        <v>12</v>
      </c>
    </row>
    <row r="416" ht="12.75">
      <c r="I416" s="48">
        <v>13</v>
      </c>
    </row>
    <row r="417" ht="12.75">
      <c r="I417" s="48">
        <v>14</v>
      </c>
    </row>
    <row r="418" ht="12.75">
      <c r="I418" s="48">
        <v>15</v>
      </c>
    </row>
    <row r="419" ht="12.75">
      <c r="I419" s="48">
        <v>16</v>
      </c>
    </row>
    <row r="420" ht="12.75">
      <c r="I420" s="48">
        <v>17</v>
      </c>
    </row>
    <row r="421" ht="12.75">
      <c r="I421" s="48">
        <v>18</v>
      </c>
    </row>
    <row r="422" ht="12.75">
      <c r="I422" s="48">
        <v>19</v>
      </c>
    </row>
    <row r="423" ht="12.75">
      <c r="I423" s="48">
        <v>20</v>
      </c>
    </row>
    <row r="424" spans="9:10" ht="12.75">
      <c r="I424" s="48">
        <v>1</v>
      </c>
      <c r="J424" s="48" t="s">
        <v>587</v>
      </c>
    </row>
    <row r="425" spans="9:13" ht="12.75">
      <c r="I425" s="48">
        <v>2</v>
      </c>
      <c r="J425" s="48">
        <v>-3</v>
      </c>
      <c r="K425" s="48" t="s">
        <v>840</v>
      </c>
      <c r="M425" s="48">
        <v>184</v>
      </c>
    </row>
    <row r="426" spans="9:13" ht="12.75">
      <c r="I426" s="48">
        <v>3</v>
      </c>
      <c r="J426" s="48">
        <v>3</v>
      </c>
      <c r="K426" s="48">
        <v>6</v>
      </c>
      <c r="M426" s="48">
        <v>44</v>
      </c>
    </row>
    <row r="427" spans="9:13" ht="12.75">
      <c r="I427" s="48">
        <v>4</v>
      </c>
      <c r="J427" s="48">
        <v>5</v>
      </c>
      <c r="K427" s="48">
        <v>4</v>
      </c>
      <c r="M427" s="48">
        <v>17</v>
      </c>
    </row>
    <row r="428" spans="9:13" ht="12.75">
      <c r="I428" s="48">
        <v>5</v>
      </c>
      <c r="K428" s="48">
        <v>5</v>
      </c>
      <c r="M428" s="48">
        <v>29</v>
      </c>
    </row>
    <row r="429" spans="9:13" ht="12.75">
      <c r="I429" s="48">
        <v>6</v>
      </c>
      <c r="K429" s="48">
        <v>6</v>
      </c>
      <c r="M429" s="48">
        <v>38</v>
      </c>
    </row>
    <row r="430" ht="12.75">
      <c r="I430" s="48">
        <v>7</v>
      </c>
    </row>
    <row r="431" ht="12.75">
      <c r="I431" s="48">
        <v>8</v>
      </c>
    </row>
    <row r="432" ht="12.75">
      <c r="I432" s="48">
        <v>9</v>
      </c>
    </row>
    <row r="433" ht="12.75">
      <c r="I433" s="48">
        <v>10</v>
      </c>
    </row>
    <row r="434" ht="12.75">
      <c r="I434" s="48">
        <v>11</v>
      </c>
    </row>
    <row r="435" ht="12.75">
      <c r="I435" s="48">
        <v>12</v>
      </c>
    </row>
    <row r="436" ht="12.75">
      <c r="I436" s="48">
        <v>13</v>
      </c>
    </row>
    <row r="437" ht="12.75">
      <c r="I437" s="48">
        <v>14</v>
      </c>
    </row>
    <row r="438" ht="12.75">
      <c r="I438" s="48">
        <v>15</v>
      </c>
    </row>
    <row r="439" ht="12.75">
      <c r="I439" s="48">
        <v>16</v>
      </c>
    </row>
    <row r="440" ht="12.75">
      <c r="I440" s="48">
        <v>17</v>
      </c>
    </row>
    <row r="441" ht="12.75">
      <c r="I441" s="48">
        <v>18</v>
      </c>
    </row>
    <row r="442" ht="12.75">
      <c r="I442" s="48">
        <v>19</v>
      </c>
    </row>
    <row r="443" ht="12.75">
      <c r="I443" s="48">
        <v>20</v>
      </c>
    </row>
    <row r="444" spans="9:10" ht="12.75">
      <c r="I444" s="48">
        <v>1</v>
      </c>
      <c r="J444" s="48" t="s">
        <v>583</v>
      </c>
    </row>
    <row r="445" spans="9:13" ht="12.75">
      <c r="I445" s="48">
        <v>2</v>
      </c>
      <c r="J445" s="48">
        <v>-2</v>
      </c>
      <c r="K445" s="48">
        <v>6</v>
      </c>
      <c r="M445" s="48">
        <v>184</v>
      </c>
    </row>
    <row r="446" spans="9:13" ht="12.75">
      <c r="I446" s="48">
        <v>3</v>
      </c>
      <c r="K446" s="48" t="s">
        <v>840</v>
      </c>
      <c r="M446" s="48">
        <v>170</v>
      </c>
    </row>
    <row r="447" spans="9:13" ht="12.75">
      <c r="I447" s="48">
        <v>4</v>
      </c>
      <c r="J447" s="48">
        <v>4</v>
      </c>
      <c r="K447" s="48">
        <v>6</v>
      </c>
      <c r="M447" s="48">
        <v>37</v>
      </c>
    </row>
    <row r="448" spans="9:13" ht="12.75">
      <c r="I448" s="48">
        <v>5</v>
      </c>
      <c r="J448" s="48">
        <v>6</v>
      </c>
      <c r="K448" s="48">
        <v>4</v>
      </c>
      <c r="M448" s="48">
        <v>12</v>
      </c>
    </row>
    <row r="449" spans="9:13" ht="12.75">
      <c r="I449" s="48">
        <v>6</v>
      </c>
      <c r="K449" s="48">
        <v>6</v>
      </c>
      <c r="M449" s="48">
        <v>29</v>
      </c>
    </row>
    <row r="450" ht="12.75">
      <c r="I450" s="48">
        <v>7</v>
      </c>
    </row>
    <row r="451" ht="12.75">
      <c r="I451" s="48">
        <v>8</v>
      </c>
    </row>
    <row r="452" ht="12.75">
      <c r="I452" s="48">
        <v>9</v>
      </c>
    </row>
    <row r="453" ht="12.75">
      <c r="I453" s="48">
        <v>10</v>
      </c>
    </row>
    <row r="454" ht="12.75">
      <c r="I454" s="48">
        <v>11</v>
      </c>
    </row>
    <row r="455" ht="12.75">
      <c r="I455" s="48">
        <v>12</v>
      </c>
    </row>
    <row r="456" ht="12.75">
      <c r="I456" s="48">
        <v>13</v>
      </c>
    </row>
    <row r="457" ht="12.75">
      <c r="I457" s="48">
        <v>14</v>
      </c>
    </row>
    <row r="458" ht="12.75">
      <c r="I458" s="48">
        <v>15</v>
      </c>
    </row>
    <row r="459" ht="12.75">
      <c r="I459" s="48">
        <v>16</v>
      </c>
    </row>
    <row r="460" ht="12.75">
      <c r="I460" s="48">
        <v>17</v>
      </c>
    </row>
    <row r="461" ht="12.75">
      <c r="I461" s="48">
        <v>18</v>
      </c>
    </row>
    <row r="462" ht="12.75">
      <c r="I462" s="48">
        <v>19</v>
      </c>
    </row>
    <row r="463" ht="12.75">
      <c r="I463" s="48">
        <v>20</v>
      </c>
    </row>
    <row r="464" spans="9:10" ht="12.75">
      <c r="I464" s="48">
        <v>1</v>
      </c>
      <c r="J464" s="48" t="s">
        <v>578</v>
      </c>
    </row>
    <row r="465" spans="9:13" ht="12.75">
      <c r="I465" s="48">
        <v>2</v>
      </c>
      <c r="J465" s="48">
        <v>-1</v>
      </c>
      <c r="K465" s="48" t="s">
        <v>840</v>
      </c>
      <c r="M465" s="48">
        <v>181</v>
      </c>
    </row>
    <row r="466" spans="9:13" ht="12.75">
      <c r="I466" s="48">
        <v>3</v>
      </c>
      <c r="K466" s="48">
        <v>6</v>
      </c>
      <c r="M466" s="48">
        <v>181</v>
      </c>
    </row>
    <row r="467" spans="9:13" ht="12.75">
      <c r="I467" s="48">
        <v>4</v>
      </c>
      <c r="K467" s="48" t="s">
        <v>841</v>
      </c>
      <c r="M467" s="48">
        <v>182</v>
      </c>
    </row>
    <row r="468" spans="9:13" ht="12.75">
      <c r="I468" s="48">
        <v>5</v>
      </c>
      <c r="J468" s="48">
        <v>5</v>
      </c>
      <c r="K468" s="48" t="s">
        <v>846</v>
      </c>
      <c r="M468" s="48">
        <v>12</v>
      </c>
    </row>
    <row r="469" spans="9:13" ht="12.75">
      <c r="I469" s="48">
        <v>6</v>
      </c>
      <c r="J469" s="48">
        <v>7</v>
      </c>
      <c r="K469" s="48">
        <v>4</v>
      </c>
      <c r="M469" s="48">
        <v>8</v>
      </c>
    </row>
    <row r="470" spans="9:13" ht="12.75">
      <c r="I470" s="48">
        <v>7</v>
      </c>
      <c r="K470" s="48">
        <v>6</v>
      </c>
      <c r="M470" s="48">
        <v>27</v>
      </c>
    </row>
    <row r="471" ht="12.75">
      <c r="I471" s="48">
        <v>8</v>
      </c>
    </row>
    <row r="472" ht="12.75">
      <c r="I472" s="48">
        <v>9</v>
      </c>
    </row>
    <row r="473" ht="12.75">
      <c r="I473" s="48">
        <v>10</v>
      </c>
    </row>
    <row r="474" ht="12.75">
      <c r="I474" s="48">
        <v>11</v>
      </c>
    </row>
    <row r="475" ht="12.75">
      <c r="I475" s="48">
        <v>12</v>
      </c>
    </row>
    <row r="476" ht="12.75">
      <c r="I476" s="48">
        <v>13</v>
      </c>
    </row>
    <row r="477" ht="12.75">
      <c r="I477" s="48">
        <v>14</v>
      </c>
    </row>
    <row r="478" ht="12.75">
      <c r="I478" s="48">
        <v>15</v>
      </c>
    </row>
    <row r="479" ht="12.75">
      <c r="I479" s="48">
        <v>16</v>
      </c>
    </row>
    <row r="480" ht="12.75">
      <c r="I480" s="48">
        <v>17</v>
      </c>
    </row>
    <row r="481" ht="12.75">
      <c r="I481" s="48">
        <v>18</v>
      </c>
    </row>
    <row r="482" ht="12.75">
      <c r="I482" s="48">
        <v>19</v>
      </c>
    </row>
    <row r="483" ht="12.75">
      <c r="I483" s="48">
        <v>20</v>
      </c>
    </row>
    <row r="484" spans="9:10" ht="12.75">
      <c r="I484" s="48">
        <v>1</v>
      </c>
      <c r="J484" s="48" t="s">
        <v>658</v>
      </c>
    </row>
    <row r="485" ht="12.75">
      <c r="I485" s="48">
        <v>2</v>
      </c>
    </row>
    <row r="486" ht="12.75">
      <c r="I486" s="48">
        <v>3</v>
      </c>
    </row>
    <row r="487" ht="12.75">
      <c r="I487" s="48">
        <v>4</v>
      </c>
    </row>
    <row r="488" ht="12.75">
      <c r="I488" s="48">
        <v>5</v>
      </c>
    </row>
    <row r="489" ht="12.75">
      <c r="I489" s="48">
        <v>6</v>
      </c>
    </row>
    <row r="490" ht="12.75">
      <c r="I490" s="48">
        <v>7</v>
      </c>
    </row>
    <row r="491" ht="12.75">
      <c r="I491" s="48">
        <v>8</v>
      </c>
    </row>
    <row r="492" ht="12.75">
      <c r="I492" s="48">
        <v>9</v>
      </c>
    </row>
    <row r="493" ht="12.75">
      <c r="I493" s="48">
        <v>10</v>
      </c>
    </row>
    <row r="494" ht="12.75">
      <c r="I494" s="48">
        <v>11</v>
      </c>
    </row>
    <row r="495" ht="12.75">
      <c r="I495" s="48">
        <v>12</v>
      </c>
    </row>
    <row r="496" ht="12.75">
      <c r="I496" s="48">
        <v>13</v>
      </c>
    </row>
    <row r="497" ht="12.75">
      <c r="I497" s="48">
        <v>14</v>
      </c>
    </row>
    <row r="498" ht="12.75">
      <c r="I498" s="48">
        <v>15</v>
      </c>
    </row>
    <row r="499" ht="12.75">
      <c r="I499" s="48">
        <v>16</v>
      </c>
    </row>
    <row r="500" ht="12.75">
      <c r="I500" s="48">
        <v>17</v>
      </c>
    </row>
    <row r="501" ht="12.75">
      <c r="I501" s="48">
        <v>18</v>
      </c>
    </row>
    <row r="502" ht="12.75">
      <c r="I502" s="48">
        <v>19</v>
      </c>
    </row>
    <row r="503" ht="12.75">
      <c r="I503" s="48">
        <v>20</v>
      </c>
    </row>
    <row r="504" spans="9:10" ht="12.75">
      <c r="I504" s="48">
        <v>1</v>
      </c>
      <c r="J504" s="48" t="s">
        <v>609</v>
      </c>
    </row>
    <row r="505" spans="9:13" ht="12.75">
      <c r="I505" s="48">
        <v>2</v>
      </c>
      <c r="J505" s="48">
        <v>-1</v>
      </c>
      <c r="K505" s="48">
        <v>6</v>
      </c>
      <c r="M505" s="48">
        <v>321</v>
      </c>
    </row>
    <row r="506" spans="9:13" ht="12.75">
      <c r="I506" s="48">
        <v>3</v>
      </c>
      <c r="J506" s="48">
        <v>1</v>
      </c>
      <c r="K506" s="48">
        <v>4</v>
      </c>
      <c r="M506" s="48">
        <v>137</v>
      </c>
    </row>
    <row r="507" spans="9:13" ht="12.75">
      <c r="I507" s="48">
        <v>4</v>
      </c>
      <c r="K507" s="48">
        <v>6</v>
      </c>
      <c r="M507" s="48">
        <v>138</v>
      </c>
    </row>
    <row r="508" spans="9:13" ht="12.75">
      <c r="I508" s="48">
        <v>5</v>
      </c>
      <c r="K508" s="48">
        <v>7</v>
      </c>
      <c r="M508" s="48">
        <v>146</v>
      </c>
    </row>
    <row r="509" spans="9:13" ht="12.75">
      <c r="I509" s="48">
        <v>6</v>
      </c>
      <c r="K509" s="48">
        <v>8</v>
      </c>
      <c r="M509" s="48">
        <v>151</v>
      </c>
    </row>
    <row r="510" spans="9:13" ht="12.75">
      <c r="I510" s="48">
        <v>7</v>
      </c>
      <c r="K510" s="48">
        <v>9</v>
      </c>
      <c r="M510" s="48">
        <v>155</v>
      </c>
    </row>
    <row r="511" spans="9:13" ht="12.75">
      <c r="I511" s="48">
        <v>8</v>
      </c>
      <c r="K511" s="48">
        <v>10</v>
      </c>
      <c r="M511" s="48">
        <v>159</v>
      </c>
    </row>
    <row r="512" spans="9:13" ht="12.75">
      <c r="I512" s="48">
        <v>9</v>
      </c>
      <c r="K512" s="48">
        <v>12</v>
      </c>
      <c r="M512" s="48">
        <v>164</v>
      </c>
    </row>
    <row r="513" ht="12.75">
      <c r="I513" s="48">
        <v>10</v>
      </c>
    </row>
    <row r="514" ht="12.75">
      <c r="I514" s="48">
        <v>11</v>
      </c>
    </row>
    <row r="515" ht="12.75">
      <c r="I515" s="48">
        <v>12</v>
      </c>
    </row>
    <row r="516" ht="12.75">
      <c r="I516" s="48">
        <v>13</v>
      </c>
    </row>
    <row r="517" ht="12.75">
      <c r="I517" s="48">
        <v>14</v>
      </c>
    </row>
    <row r="518" ht="12.75">
      <c r="I518" s="48">
        <v>15</v>
      </c>
    </row>
    <row r="519" ht="12.75">
      <c r="I519" s="48">
        <v>16</v>
      </c>
    </row>
    <row r="520" ht="12.75">
      <c r="I520" s="48">
        <v>17</v>
      </c>
    </row>
    <row r="521" ht="12.75">
      <c r="I521" s="48">
        <v>18</v>
      </c>
    </row>
    <row r="522" ht="12.75">
      <c r="I522" s="48">
        <v>19</v>
      </c>
    </row>
    <row r="523" ht="12.75">
      <c r="I523" s="48">
        <v>20</v>
      </c>
    </row>
    <row r="524" spans="9:10" ht="12.75">
      <c r="I524" s="48">
        <v>1</v>
      </c>
      <c r="J524" s="48" t="s">
        <v>616</v>
      </c>
    </row>
    <row r="525" spans="9:13" ht="12.75">
      <c r="I525" s="48">
        <v>2</v>
      </c>
      <c r="J525" s="48">
        <v>2</v>
      </c>
      <c r="K525" s="48">
        <v>6</v>
      </c>
      <c r="M525" s="48">
        <v>100</v>
      </c>
    </row>
    <row r="526" spans="9:13" ht="12.75">
      <c r="I526" s="48">
        <v>3</v>
      </c>
      <c r="K526" s="48">
        <v>7</v>
      </c>
      <c r="M526" s="48">
        <v>106</v>
      </c>
    </row>
    <row r="527" spans="9:13" ht="12.75">
      <c r="I527" s="48">
        <v>4</v>
      </c>
      <c r="K527" s="48">
        <v>8</v>
      </c>
      <c r="M527" s="48">
        <v>112</v>
      </c>
    </row>
    <row r="528" spans="9:13" ht="12.75">
      <c r="I528" s="48">
        <v>5</v>
      </c>
      <c r="K528" s="48">
        <v>9</v>
      </c>
      <c r="M528" s="48">
        <v>118</v>
      </c>
    </row>
    <row r="529" spans="9:13" ht="12.75">
      <c r="I529" s="48">
        <v>6</v>
      </c>
      <c r="K529" s="48">
        <v>10</v>
      </c>
      <c r="M529" s="48">
        <v>123</v>
      </c>
    </row>
    <row r="530" spans="9:13" ht="12.75">
      <c r="I530" s="48">
        <v>7</v>
      </c>
      <c r="K530" s="48">
        <v>12</v>
      </c>
      <c r="M530" s="48">
        <v>134</v>
      </c>
    </row>
    <row r="531" ht="12.75">
      <c r="I531" s="48">
        <v>8</v>
      </c>
    </row>
    <row r="532" ht="12.75">
      <c r="I532" s="48">
        <v>9</v>
      </c>
    </row>
    <row r="533" ht="12.75">
      <c r="I533" s="48">
        <v>10</v>
      </c>
    </row>
    <row r="534" ht="12.75">
      <c r="I534" s="48">
        <v>11</v>
      </c>
    </row>
    <row r="535" ht="12.75">
      <c r="I535" s="48">
        <v>12</v>
      </c>
    </row>
    <row r="536" ht="12.75">
      <c r="I536" s="48">
        <v>13</v>
      </c>
    </row>
    <row r="537" ht="12.75">
      <c r="I537" s="48">
        <v>14</v>
      </c>
    </row>
    <row r="538" ht="12.75">
      <c r="I538" s="48">
        <v>15</v>
      </c>
    </row>
    <row r="539" ht="12.75">
      <c r="I539" s="48">
        <v>16</v>
      </c>
    </row>
    <row r="540" ht="12.75">
      <c r="I540" s="48">
        <v>17</v>
      </c>
    </row>
    <row r="541" ht="12.75">
      <c r="I541" s="48">
        <v>18</v>
      </c>
    </row>
    <row r="542" ht="12.75">
      <c r="I542" s="48">
        <v>19</v>
      </c>
    </row>
    <row r="543" ht="12.75">
      <c r="I543" s="48">
        <v>20</v>
      </c>
    </row>
    <row r="544" spans="9:10" ht="12.75">
      <c r="I544" s="48">
        <v>1</v>
      </c>
      <c r="J544" s="48" t="s">
        <v>621</v>
      </c>
    </row>
    <row r="545" spans="9:13" ht="12.75">
      <c r="I545" s="48">
        <v>2</v>
      </c>
      <c r="J545" s="48">
        <v>3</v>
      </c>
      <c r="K545" s="48">
        <v>6</v>
      </c>
      <c r="M545" s="48">
        <v>74.5</v>
      </c>
    </row>
    <row r="546" spans="9:13" ht="12.75">
      <c r="I546" s="48">
        <v>3</v>
      </c>
      <c r="K546" s="48">
        <v>8</v>
      </c>
      <c r="M546" s="48">
        <v>87</v>
      </c>
    </row>
    <row r="547" ht="12.75">
      <c r="I547" s="48">
        <v>4</v>
      </c>
    </row>
    <row r="548" ht="12.75">
      <c r="I548" s="48">
        <v>5</v>
      </c>
    </row>
    <row r="549" ht="12.75">
      <c r="I549" s="48">
        <v>6</v>
      </c>
    </row>
    <row r="550" ht="12.75">
      <c r="I550" s="48">
        <v>7</v>
      </c>
    </row>
    <row r="551" ht="12.75">
      <c r="I551" s="48">
        <v>8</v>
      </c>
    </row>
    <row r="552" ht="12.75">
      <c r="I552" s="48">
        <v>9</v>
      </c>
    </row>
    <row r="553" ht="12.75">
      <c r="I553" s="48">
        <v>10</v>
      </c>
    </row>
    <row r="554" ht="12.75">
      <c r="I554" s="48">
        <v>11</v>
      </c>
    </row>
    <row r="555" ht="12.75">
      <c r="I555" s="48">
        <v>12</v>
      </c>
    </row>
    <row r="556" ht="12.75">
      <c r="I556" s="48">
        <v>13</v>
      </c>
    </row>
    <row r="557" ht="12.75">
      <c r="I557" s="48">
        <v>14</v>
      </c>
    </row>
    <row r="558" ht="12.75">
      <c r="I558" s="48">
        <v>15</v>
      </c>
    </row>
    <row r="559" ht="12.75">
      <c r="I559" s="48">
        <v>16</v>
      </c>
    </row>
    <row r="560" ht="12.75">
      <c r="I560" s="48">
        <v>17</v>
      </c>
    </row>
    <row r="561" ht="12.75">
      <c r="I561" s="48">
        <v>18</v>
      </c>
    </row>
    <row r="562" ht="12.75">
      <c r="I562" s="48">
        <v>19</v>
      </c>
    </row>
    <row r="563" ht="12.75">
      <c r="I563" s="48">
        <v>20</v>
      </c>
    </row>
    <row r="564" spans="9:10" ht="12.75">
      <c r="I564" s="48">
        <v>1</v>
      </c>
      <c r="J564" s="48" t="s">
        <v>570</v>
      </c>
    </row>
    <row r="565" spans="9:13" ht="12.75">
      <c r="I565" s="48">
        <v>2</v>
      </c>
      <c r="J565" s="48">
        <v>2</v>
      </c>
      <c r="K565" s="48">
        <v>6</v>
      </c>
      <c r="M565" s="48">
        <v>86</v>
      </c>
    </row>
    <row r="566" spans="9:13" ht="12.75">
      <c r="I566" s="48">
        <v>3</v>
      </c>
      <c r="J566" s="48">
        <v>3</v>
      </c>
      <c r="K566" s="48">
        <v>6</v>
      </c>
      <c r="M566" s="48">
        <v>67</v>
      </c>
    </row>
    <row r="567" spans="9:13" ht="12.75">
      <c r="I567" s="48">
        <v>4</v>
      </c>
      <c r="J567" s="48">
        <v>4</v>
      </c>
      <c r="K567" s="48">
        <v>4</v>
      </c>
      <c r="M567" s="48">
        <v>42</v>
      </c>
    </row>
    <row r="568" spans="9:13" ht="12.75">
      <c r="I568" s="48">
        <v>5</v>
      </c>
      <c r="K568" s="48">
        <v>5</v>
      </c>
      <c r="M568" s="48">
        <v>51</v>
      </c>
    </row>
    <row r="569" spans="9:13" ht="12.75">
      <c r="I569" s="48">
        <v>6</v>
      </c>
      <c r="K569" s="48">
        <v>6</v>
      </c>
      <c r="M569" s="48">
        <v>60.5</v>
      </c>
    </row>
    <row r="570" spans="9:13" ht="12.75">
      <c r="I570" s="48">
        <v>7</v>
      </c>
      <c r="K570" s="48">
        <v>8</v>
      </c>
      <c r="M570" s="48">
        <v>74</v>
      </c>
    </row>
    <row r="571" ht="12.75">
      <c r="I571" s="48">
        <v>8</v>
      </c>
    </row>
    <row r="572" ht="12.75">
      <c r="I572" s="48">
        <v>9</v>
      </c>
    </row>
    <row r="573" ht="12.75">
      <c r="I573" s="48">
        <v>10</v>
      </c>
    </row>
    <row r="574" ht="12.75">
      <c r="I574" s="48">
        <v>11</v>
      </c>
    </row>
    <row r="575" ht="12.75">
      <c r="I575" s="48">
        <v>12</v>
      </c>
    </row>
    <row r="576" ht="12.75">
      <c r="I576" s="48">
        <v>13</v>
      </c>
    </row>
    <row r="577" ht="12.75">
      <c r="I577" s="48">
        <v>14</v>
      </c>
    </row>
    <row r="578" ht="12.75">
      <c r="I578" s="48">
        <v>15</v>
      </c>
    </row>
    <row r="579" ht="12.75">
      <c r="I579" s="48">
        <v>16</v>
      </c>
    </row>
    <row r="580" ht="12.75">
      <c r="I580" s="48">
        <v>17</v>
      </c>
    </row>
    <row r="581" ht="12.75">
      <c r="I581" s="48">
        <v>18</v>
      </c>
    </row>
    <row r="582" ht="12.75">
      <c r="I582" s="48">
        <v>19</v>
      </c>
    </row>
    <row r="583" ht="12.75">
      <c r="I583" s="48">
        <v>20</v>
      </c>
    </row>
    <row r="584" spans="9:10" ht="12.75">
      <c r="I584" s="48">
        <v>1</v>
      </c>
      <c r="J584" s="48" t="s">
        <v>589</v>
      </c>
    </row>
    <row r="585" spans="9:13" ht="12.75">
      <c r="I585" s="48">
        <v>2</v>
      </c>
      <c r="J585" s="48">
        <v>2</v>
      </c>
      <c r="K585" s="48">
        <v>6</v>
      </c>
      <c r="M585" s="48">
        <v>79</v>
      </c>
    </row>
    <row r="586" spans="9:13" ht="12.75">
      <c r="I586" s="48">
        <v>3</v>
      </c>
      <c r="J586" s="48">
        <v>3</v>
      </c>
      <c r="K586" s="48">
        <v>6</v>
      </c>
      <c r="M586" s="48">
        <v>64</v>
      </c>
    </row>
    <row r="587" spans="9:13" ht="12.75">
      <c r="I587" s="48">
        <v>4</v>
      </c>
      <c r="J587" s="48">
        <v>4</v>
      </c>
      <c r="K587" s="48">
        <v>5</v>
      </c>
      <c r="M587" s="48">
        <v>53</v>
      </c>
    </row>
    <row r="588" spans="9:13" ht="12.75">
      <c r="I588" s="48">
        <v>5</v>
      </c>
      <c r="K588" s="48">
        <v>6</v>
      </c>
      <c r="M588" s="48">
        <v>58</v>
      </c>
    </row>
    <row r="589" spans="9:13" ht="12.75">
      <c r="I589" s="48">
        <v>6</v>
      </c>
      <c r="K589" s="48">
        <v>8</v>
      </c>
      <c r="M589" s="48">
        <v>72</v>
      </c>
    </row>
    <row r="590" spans="9:13" ht="12.75">
      <c r="I590" s="48">
        <v>7</v>
      </c>
      <c r="J590" s="48">
        <v>5</v>
      </c>
      <c r="K590" s="48">
        <v>4</v>
      </c>
      <c r="M590" s="48">
        <v>35.5</v>
      </c>
    </row>
    <row r="591" spans="9:13" ht="12.75">
      <c r="I591" s="48">
        <v>8</v>
      </c>
      <c r="K591" s="48">
        <v>5</v>
      </c>
      <c r="M591" s="48">
        <v>46</v>
      </c>
    </row>
    <row r="592" spans="9:13" ht="12.75">
      <c r="I592" s="48">
        <v>9</v>
      </c>
      <c r="K592" s="48">
        <v>6</v>
      </c>
      <c r="M592" s="48">
        <v>54</v>
      </c>
    </row>
    <row r="593" ht="12.75">
      <c r="I593" s="48">
        <v>10</v>
      </c>
    </row>
    <row r="594" ht="12.75">
      <c r="I594" s="48">
        <v>11</v>
      </c>
    </row>
    <row r="595" ht="12.75">
      <c r="I595" s="48">
        <v>12</v>
      </c>
    </row>
    <row r="596" ht="12.75">
      <c r="I596" s="48">
        <v>13</v>
      </c>
    </row>
    <row r="597" ht="12.75">
      <c r="I597" s="48">
        <v>14</v>
      </c>
    </row>
    <row r="598" ht="12.75">
      <c r="I598" s="48">
        <v>15</v>
      </c>
    </row>
    <row r="599" ht="12.75">
      <c r="I599" s="48">
        <v>16</v>
      </c>
    </row>
    <row r="600" ht="12.75">
      <c r="I600" s="48">
        <v>17</v>
      </c>
    </row>
    <row r="601" ht="12.75">
      <c r="I601" s="48">
        <v>18</v>
      </c>
    </row>
    <row r="602" ht="12.75">
      <c r="I602" s="48">
        <v>19</v>
      </c>
    </row>
    <row r="603" ht="12.75">
      <c r="I603" s="48">
        <v>20</v>
      </c>
    </row>
    <row r="604" spans="9:10" ht="12.75">
      <c r="I604" s="48">
        <v>1</v>
      </c>
      <c r="J604" s="48" t="s">
        <v>582</v>
      </c>
    </row>
    <row r="605" spans="9:13" ht="12.75">
      <c r="I605" s="48">
        <v>2</v>
      </c>
      <c r="J605" s="48">
        <v>2</v>
      </c>
      <c r="K605" s="48">
        <v>6</v>
      </c>
      <c r="L605" s="48" t="s">
        <v>1014</v>
      </c>
      <c r="M605" s="48">
        <v>73</v>
      </c>
    </row>
    <row r="606" spans="9:13" ht="12.75">
      <c r="I606" s="48">
        <v>3</v>
      </c>
      <c r="K606" s="48">
        <v>6</v>
      </c>
      <c r="L606" s="48" t="s">
        <v>1015</v>
      </c>
      <c r="M606" s="48">
        <v>80</v>
      </c>
    </row>
    <row r="607" spans="9:13" ht="12.75">
      <c r="I607" s="48">
        <v>4</v>
      </c>
      <c r="J607" s="48">
        <v>3</v>
      </c>
      <c r="K607" s="48">
        <v>6</v>
      </c>
      <c r="M607" s="48">
        <v>61.5</v>
      </c>
    </row>
    <row r="608" spans="9:13" ht="12.75">
      <c r="I608" s="48">
        <v>5</v>
      </c>
      <c r="J608" s="48">
        <v>4</v>
      </c>
      <c r="K608" s="48">
        <v>4</v>
      </c>
      <c r="M608" s="48">
        <v>41</v>
      </c>
    </row>
    <row r="609" spans="9:13" ht="12.75">
      <c r="I609" s="48">
        <v>6</v>
      </c>
      <c r="K609" s="48">
        <v>6</v>
      </c>
      <c r="M609" s="48">
        <v>55</v>
      </c>
    </row>
    <row r="610" spans="9:13" ht="12.75">
      <c r="I610" s="48">
        <v>7</v>
      </c>
      <c r="J610" s="48">
        <v>5</v>
      </c>
      <c r="K610" s="48">
        <v>4</v>
      </c>
      <c r="M610" s="48">
        <v>34.5</v>
      </c>
    </row>
    <row r="611" spans="9:13" ht="12.75">
      <c r="I611" s="48">
        <v>8</v>
      </c>
      <c r="K611" s="48">
        <v>6</v>
      </c>
      <c r="M611" s="48">
        <v>49</v>
      </c>
    </row>
    <row r="612" spans="9:13" ht="12.75">
      <c r="I612" s="48">
        <v>9</v>
      </c>
      <c r="K612" s="48">
        <v>8</v>
      </c>
      <c r="M612" s="48">
        <v>57</v>
      </c>
    </row>
    <row r="613" spans="9:13" ht="12.75">
      <c r="I613" s="48">
        <v>10</v>
      </c>
      <c r="J613" s="48">
        <v>6</v>
      </c>
      <c r="K613" s="48">
        <v>4</v>
      </c>
      <c r="M613" s="48">
        <v>26</v>
      </c>
    </row>
    <row r="614" spans="9:13" ht="12.75">
      <c r="I614" s="48">
        <v>11</v>
      </c>
      <c r="K614" s="48">
        <v>6</v>
      </c>
      <c r="M614" s="48">
        <v>44</v>
      </c>
    </row>
    <row r="615" ht="12.75">
      <c r="I615" s="48">
        <v>12</v>
      </c>
    </row>
    <row r="616" ht="12.75">
      <c r="I616" s="48">
        <v>13</v>
      </c>
    </row>
    <row r="617" ht="12.75">
      <c r="I617" s="48">
        <v>14</v>
      </c>
    </row>
    <row r="618" ht="12.75">
      <c r="I618" s="48">
        <v>15</v>
      </c>
    </row>
    <row r="619" ht="12.75">
      <c r="I619" s="48">
        <v>16</v>
      </c>
    </row>
    <row r="620" ht="12.75">
      <c r="I620" s="48">
        <v>17</v>
      </c>
    </row>
    <row r="621" ht="12.75">
      <c r="I621" s="48">
        <v>18</v>
      </c>
    </row>
    <row r="622" ht="12.75">
      <c r="I622" s="48">
        <v>19</v>
      </c>
    </row>
    <row r="623" ht="12.75">
      <c r="I623" s="48">
        <v>20</v>
      </c>
    </row>
    <row r="624" spans="9:10" ht="12.75">
      <c r="I624" s="48">
        <v>1</v>
      </c>
      <c r="J624" s="48" t="s">
        <v>604</v>
      </c>
    </row>
    <row r="625" spans="9:13" ht="12.75">
      <c r="I625" s="48">
        <v>2</v>
      </c>
      <c r="J625" s="48">
        <v>2</v>
      </c>
      <c r="K625" s="48">
        <v>4</v>
      </c>
      <c r="L625" s="48" t="s">
        <v>1015</v>
      </c>
      <c r="M625" s="48">
        <v>66</v>
      </c>
    </row>
    <row r="626" spans="9:13" ht="12.75">
      <c r="I626" s="48">
        <v>3</v>
      </c>
      <c r="K626" s="48">
        <v>5</v>
      </c>
      <c r="L626" s="48" t="s">
        <v>1015</v>
      </c>
      <c r="M626" s="48">
        <v>75</v>
      </c>
    </row>
    <row r="627" spans="9:13" ht="12.75">
      <c r="I627" s="48">
        <v>4</v>
      </c>
      <c r="K627" s="48">
        <v>6</v>
      </c>
      <c r="L627" s="48" t="s">
        <v>1014</v>
      </c>
      <c r="M627" s="48">
        <v>67</v>
      </c>
    </row>
    <row r="628" spans="9:13" ht="12.75">
      <c r="I628" s="48">
        <v>5</v>
      </c>
      <c r="K628" s="48">
        <v>6</v>
      </c>
      <c r="L628" s="48" t="s">
        <v>1015</v>
      </c>
      <c r="M628" s="48">
        <v>83</v>
      </c>
    </row>
    <row r="629" spans="9:13" ht="12.75">
      <c r="I629" s="48">
        <v>6</v>
      </c>
      <c r="K629" s="48">
        <v>7</v>
      </c>
      <c r="L629" s="48" t="s">
        <v>1015</v>
      </c>
      <c r="M629" s="48">
        <v>90</v>
      </c>
    </row>
    <row r="630" spans="9:13" ht="12.75">
      <c r="I630" s="48">
        <v>7</v>
      </c>
      <c r="K630" s="48">
        <v>8</v>
      </c>
      <c r="M630" s="48">
        <v>96</v>
      </c>
    </row>
    <row r="631" spans="9:13" ht="12.75">
      <c r="I631" s="48">
        <v>8</v>
      </c>
      <c r="J631" s="48">
        <v>3</v>
      </c>
      <c r="K631" s="48">
        <v>5</v>
      </c>
      <c r="M631" s="48">
        <v>58</v>
      </c>
    </row>
    <row r="632" spans="9:13" ht="12.75">
      <c r="I632" s="48">
        <v>9</v>
      </c>
      <c r="K632" s="48">
        <v>6</v>
      </c>
      <c r="L632" s="48" t="s">
        <v>1014</v>
      </c>
      <c r="M632" s="48">
        <v>58</v>
      </c>
    </row>
    <row r="633" spans="9:13" ht="12.75">
      <c r="I633" s="48">
        <v>10</v>
      </c>
      <c r="K633" s="48">
        <v>6</v>
      </c>
      <c r="L633" s="48" t="s">
        <v>1015</v>
      </c>
      <c r="M633" s="48">
        <v>64.5</v>
      </c>
    </row>
    <row r="634" spans="9:13" ht="12.75">
      <c r="I634" s="48">
        <v>11</v>
      </c>
      <c r="J634" s="48">
        <v>4</v>
      </c>
      <c r="K634" s="48">
        <v>4</v>
      </c>
      <c r="M634" s="48">
        <v>39</v>
      </c>
    </row>
    <row r="635" spans="9:13" ht="12.75">
      <c r="I635" s="48">
        <v>12</v>
      </c>
      <c r="K635" s="48">
        <v>6</v>
      </c>
      <c r="M635" s="48">
        <v>53</v>
      </c>
    </row>
    <row r="636" spans="9:13" ht="12.75">
      <c r="I636" s="48">
        <v>13</v>
      </c>
      <c r="J636" s="48">
        <v>5</v>
      </c>
      <c r="K636" s="48">
        <v>4</v>
      </c>
      <c r="M636" s="48">
        <v>33</v>
      </c>
    </row>
    <row r="637" spans="9:13" ht="12.75">
      <c r="I637" s="48">
        <v>14</v>
      </c>
      <c r="J637" s="48">
        <v>6</v>
      </c>
      <c r="K637" s="48">
        <v>4</v>
      </c>
      <c r="M637" s="48">
        <v>25.5</v>
      </c>
    </row>
    <row r="638" spans="9:13" ht="12.75">
      <c r="I638" s="48">
        <v>15</v>
      </c>
      <c r="J638" s="48">
        <v>7</v>
      </c>
      <c r="K638" s="48">
        <v>4</v>
      </c>
      <c r="M638" s="48">
        <v>25</v>
      </c>
    </row>
    <row r="639" spans="9:13" ht="12.75">
      <c r="I639" s="48">
        <v>16</v>
      </c>
      <c r="K639" s="48">
        <v>6</v>
      </c>
      <c r="M639" s="48">
        <v>46</v>
      </c>
    </row>
    <row r="640" ht="12.75">
      <c r="I640" s="48">
        <v>17</v>
      </c>
    </row>
    <row r="641" ht="12.75">
      <c r="I641" s="48">
        <v>18</v>
      </c>
    </row>
    <row r="642" ht="12.75">
      <c r="I642" s="48">
        <v>19</v>
      </c>
    </row>
    <row r="643" ht="12.75">
      <c r="I643" s="48">
        <v>20</v>
      </c>
    </row>
    <row r="644" spans="9:10" ht="12.75">
      <c r="I644" s="48">
        <v>1</v>
      </c>
      <c r="J644" s="48" t="s">
        <v>585</v>
      </c>
    </row>
    <row r="645" spans="9:13" ht="12.75">
      <c r="I645" s="48">
        <v>2</v>
      </c>
      <c r="J645" s="48">
        <v>2</v>
      </c>
      <c r="K645" s="48">
        <v>4</v>
      </c>
      <c r="L645" s="48" t="s">
        <v>1015</v>
      </c>
      <c r="M645" s="48">
        <v>63</v>
      </c>
    </row>
    <row r="646" spans="9:13" ht="12.75">
      <c r="I646" s="48">
        <v>3</v>
      </c>
      <c r="K646" s="48" t="s">
        <v>845</v>
      </c>
      <c r="L646" s="48" t="s">
        <v>1015</v>
      </c>
      <c r="M646" s="48">
        <v>64</v>
      </c>
    </row>
    <row r="647" spans="9:13" ht="12.75">
      <c r="I647" s="48">
        <v>4</v>
      </c>
      <c r="K647" s="48">
        <v>6</v>
      </c>
      <c r="L647" s="48" t="s">
        <v>1014</v>
      </c>
      <c r="M647" s="48">
        <v>61</v>
      </c>
    </row>
    <row r="648" spans="9:13" ht="12.75">
      <c r="I648" s="48">
        <v>5</v>
      </c>
      <c r="K648" s="48">
        <v>6</v>
      </c>
      <c r="L648" s="48" t="s">
        <v>1015</v>
      </c>
      <c r="M648" s="48">
        <v>78</v>
      </c>
    </row>
    <row r="649" spans="9:13" ht="12.75">
      <c r="I649" s="48">
        <v>6</v>
      </c>
      <c r="K649" s="48">
        <v>8</v>
      </c>
      <c r="L649" s="48" t="s">
        <v>1015</v>
      </c>
      <c r="M649" s="48">
        <v>92</v>
      </c>
    </row>
    <row r="650" spans="9:13" ht="12.75">
      <c r="I650" s="48">
        <v>7</v>
      </c>
      <c r="J650" s="48">
        <v>3</v>
      </c>
      <c r="K650" s="48">
        <v>4</v>
      </c>
      <c r="L650" s="48" t="s">
        <v>1015</v>
      </c>
      <c r="M650" s="48">
        <v>49</v>
      </c>
    </row>
    <row r="651" spans="9:13" ht="12.75">
      <c r="I651" s="48">
        <v>8</v>
      </c>
      <c r="K651" s="48">
        <v>5</v>
      </c>
      <c r="M651" s="48">
        <v>58</v>
      </c>
    </row>
    <row r="652" spans="9:13" ht="12.75">
      <c r="I652" s="48">
        <v>9</v>
      </c>
      <c r="K652" s="48">
        <v>6</v>
      </c>
      <c r="L652" s="48" t="s">
        <v>1014</v>
      </c>
      <c r="M652" s="48">
        <v>55</v>
      </c>
    </row>
    <row r="653" spans="9:13" ht="12.75">
      <c r="I653" s="48">
        <v>10</v>
      </c>
      <c r="K653" s="48">
        <v>6</v>
      </c>
      <c r="L653" s="48" t="s">
        <v>1015</v>
      </c>
      <c r="M653" s="48">
        <v>64.5</v>
      </c>
    </row>
    <row r="654" spans="9:13" ht="12.75">
      <c r="I654" s="48">
        <v>11</v>
      </c>
      <c r="K654" s="48">
        <v>8</v>
      </c>
      <c r="L654" s="48" t="s">
        <v>1015</v>
      </c>
      <c r="M654" s="48">
        <v>78</v>
      </c>
    </row>
    <row r="655" spans="9:13" ht="12.75">
      <c r="I655" s="48">
        <v>12</v>
      </c>
      <c r="J655" s="48">
        <v>4</v>
      </c>
      <c r="K655" s="48">
        <v>6</v>
      </c>
      <c r="M655" s="48">
        <v>58.5</v>
      </c>
    </row>
    <row r="656" spans="9:13" ht="12.75">
      <c r="I656" s="48">
        <v>13</v>
      </c>
      <c r="J656" s="48">
        <v>6</v>
      </c>
      <c r="K656" s="48">
        <v>4</v>
      </c>
      <c r="M656" s="48">
        <v>25</v>
      </c>
    </row>
    <row r="657" ht="12.75">
      <c r="I657" s="48">
        <v>14</v>
      </c>
    </row>
    <row r="658" ht="12.75">
      <c r="I658" s="48">
        <v>15</v>
      </c>
    </row>
    <row r="659" ht="12.75">
      <c r="I659" s="48">
        <v>16</v>
      </c>
    </row>
    <row r="660" ht="12.75">
      <c r="I660" s="48">
        <v>17</v>
      </c>
    </row>
    <row r="661" ht="12.75">
      <c r="I661" s="48">
        <v>18</v>
      </c>
    </row>
    <row r="662" ht="12.75">
      <c r="I662" s="48">
        <v>19</v>
      </c>
    </row>
    <row r="663" ht="12.75">
      <c r="I663" s="48">
        <v>20</v>
      </c>
    </row>
    <row r="664" spans="9:10" ht="12.75">
      <c r="I664" s="48">
        <v>1</v>
      </c>
      <c r="J664" s="48" t="s">
        <v>594</v>
      </c>
    </row>
    <row r="665" spans="9:13" ht="12.75">
      <c r="I665" s="48">
        <v>2</v>
      </c>
      <c r="J665" s="48">
        <v>2</v>
      </c>
      <c r="K665" s="48">
        <v>4</v>
      </c>
      <c r="L665" s="48" t="s">
        <v>1015</v>
      </c>
      <c r="M665" s="48">
        <v>58</v>
      </c>
    </row>
    <row r="666" spans="9:13" ht="12.75">
      <c r="I666" s="48">
        <v>3</v>
      </c>
      <c r="K666" s="48">
        <v>5</v>
      </c>
      <c r="M666" s="48">
        <v>67</v>
      </c>
    </row>
    <row r="667" spans="9:13" ht="12.75">
      <c r="I667" s="48">
        <v>4</v>
      </c>
      <c r="K667" s="48">
        <v>6</v>
      </c>
      <c r="L667" s="48" t="s">
        <v>1014</v>
      </c>
      <c r="M667" s="48">
        <v>65</v>
      </c>
    </row>
    <row r="668" spans="9:13" ht="12.75">
      <c r="I668" s="48">
        <v>5</v>
      </c>
      <c r="K668" s="48">
        <v>6</v>
      </c>
      <c r="L668" s="48" t="s">
        <v>1015</v>
      </c>
      <c r="M668" s="48">
        <v>74.5</v>
      </c>
    </row>
    <row r="669" spans="9:13" ht="12.75">
      <c r="I669" s="48">
        <v>6</v>
      </c>
      <c r="K669" s="48">
        <v>8</v>
      </c>
      <c r="M669" s="48">
        <v>90</v>
      </c>
    </row>
    <row r="670" spans="9:13" ht="12.75">
      <c r="I670" s="48">
        <v>7</v>
      </c>
      <c r="J670" s="48">
        <v>3</v>
      </c>
      <c r="K670" s="48">
        <v>6</v>
      </c>
      <c r="L670" s="48" t="s">
        <v>1014</v>
      </c>
      <c r="M670" s="48">
        <v>54.5</v>
      </c>
    </row>
    <row r="671" spans="9:13" ht="12.75">
      <c r="I671" s="48">
        <v>8</v>
      </c>
      <c r="K671" s="48">
        <v>6</v>
      </c>
      <c r="L671" s="48" t="s">
        <v>1015</v>
      </c>
      <c r="M671" s="48">
        <v>61</v>
      </c>
    </row>
    <row r="672" spans="9:13" ht="12.75">
      <c r="I672" s="48">
        <v>9</v>
      </c>
      <c r="J672" s="48">
        <v>4</v>
      </c>
      <c r="K672" s="48">
        <v>4</v>
      </c>
      <c r="M672" s="48">
        <v>40</v>
      </c>
    </row>
    <row r="673" spans="9:13" ht="12.75">
      <c r="I673" s="48">
        <v>10</v>
      </c>
      <c r="K673" s="48">
        <v>6</v>
      </c>
      <c r="L673" s="48" t="s">
        <v>1015</v>
      </c>
      <c r="M673" s="48">
        <v>53</v>
      </c>
    </row>
    <row r="674" ht="12.75">
      <c r="I674" s="48">
        <v>11</v>
      </c>
    </row>
    <row r="675" ht="12.75">
      <c r="I675" s="48">
        <v>12</v>
      </c>
    </row>
    <row r="676" ht="12.75">
      <c r="I676" s="48">
        <v>13</v>
      </c>
    </row>
    <row r="677" ht="12.75">
      <c r="I677" s="48">
        <v>14</v>
      </c>
    </row>
    <row r="678" ht="12.75">
      <c r="I678" s="48">
        <v>15</v>
      </c>
    </row>
    <row r="679" ht="12.75">
      <c r="I679" s="48">
        <v>16</v>
      </c>
    </row>
    <row r="680" ht="12.75">
      <c r="I680" s="48">
        <v>17</v>
      </c>
    </row>
    <row r="681" ht="12.75">
      <c r="I681" s="48">
        <v>18</v>
      </c>
    </row>
    <row r="682" ht="12.75">
      <c r="I682" s="48">
        <v>19</v>
      </c>
    </row>
    <row r="683" ht="12.75">
      <c r="I683" s="48">
        <v>20</v>
      </c>
    </row>
    <row r="684" spans="9:13" ht="12.75">
      <c r="I684" s="48">
        <v>1</v>
      </c>
      <c r="J684" s="48" t="s">
        <v>596</v>
      </c>
      <c r="M684" s="48">
        <v>0</v>
      </c>
    </row>
    <row r="685" spans="9:13" ht="12.75">
      <c r="I685" s="48">
        <v>2</v>
      </c>
      <c r="J685" s="48">
        <v>2</v>
      </c>
      <c r="K685" s="48">
        <v>4</v>
      </c>
      <c r="M685" s="48">
        <v>55</v>
      </c>
    </row>
    <row r="686" spans="9:13" ht="12.75">
      <c r="I686" s="48">
        <v>3</v>
      </c>
      <c r="K686" s="48" t="s">
        <v>845</v>
      </c>
      <c r="M686" s="48">
        <v>49</v>
      </c>
    </row>
    <row r="687" spans="9:13" ht="12.75">
      <c r="I687" s="48">
        <v>4</v>
      </c>
      <c r="K687" s="48">
        <v>5</v>
      </c>
      <c r="M687" s="48">
        <v>63</v>
      </c>
    </row>
    <row r="688" spans="9:13" ht="12.75">
      <c r="I688" s="48">
        <v>5</v>
      </c>
      <c r="K688" s="48">
        <v>6</v>
      </c>
      <c r="M688" s="48">
        <v>69</v>
      </c>
    </row>
    <row r="689" spans="9:13" ht="12.75">
      <c r="I689" s="48">
        <v>6</v>
      </c>
      <c r="J689" s="48">
        <v>3</v>
      </c>
      <c r="K689" s="48">
        <v>6</v>
      </c>
      <c r="L689" s="48" t="s">
        <v>1014</v>
      </c>
      <c r="M689" s="48">
        <v>56</v>
      </c>
    </row>
    <row r="690" spans="9:13" ht="12.75">
      <c r="I690" s="48">
        <v>7</v>
      </c>
      <c r="K690" s="48">
        <v>6</v>
      </c>
      <c r="L690" s="48" t="s">
        <v>1015</v>
      </c>
      <c r="M690" s="48">
        <v>60</v>
      </c>
    </row>
    <row r="691" spans="9:13" ht="12.75">
      <c r="I691" s="48">
        <v>8</v>
      </c>
      <c r="J691" s="48">
        <v>4</v>
      </c>
      <c r="K691" s="48">
        <v>6</v>
      </c>
      <c r="L691" s="48" t="s">
        <v>1014</v>
      </c>
      <c r="M691" s="48">
        <v>48</v>
      </c>
    </row>
    <row r="692" ht="12.75">
      <c r="I692" s="48">
        <v>9</v>
      </c>
    </row>
    <row r="693" ht="12.75">
      <c r="I693" s="48">
        <v>10</v>
      </c>
    </row>
    <row r="694" ht="12.75">
      <c r="I694" s="48">
        <v>11</v>
      </c>
    </row>
    <row r="695" ht="12.75">
      <c r="I695" s="48">
        <v>12</v>
      </c>
    </row>
    <row r="696" ht="12.75">
      <c r="I696" s="48">
        <v>13</v>
      </c>
    </row>
    <row r="697" ht="12.75">
      <c r="I697" s="48">
        <v>14</v>
      </c>
    </row>
    <row r="698" ht="12.75">
      <c r="I698" s="48">
        <v>15</v>
      </c>
    </row>
    <row r="699" ht="12.75">
      <c r="I699" s="48">
        <v>16</v>
      </c>
    </row>
    <row r="700" ht="12.75">
      <c r="I700" s="48">
        <v>17</v>
      </c>
    </row>
    <row r="701" ht="12.75">
      <c r="I701" s="48">
        <v>18</v>
      </c>
    </row>
    <row r="702" ht="12.75">
      <c r="I702" s="48">
        <v>19</v>
      </c>
    </row>
    <row r="703" ht="12.75">
      <c r="I703" s="48">
        <v>20</v>
      </c>
    </row>
    <row r="704" spans="9:10" ht="12.75">
      <c r="I704" s="48">
        <v>1</v>
      </c>
      <c r="J704" s="48" t="s">
        <v>605</v>
      </c>
    </row>
    <row r="705" spans="9:13" ht="12.75">
      <c r="I705" s="48">
        <v>2</v>
      </c>
      <c r="J705" s="48">
        <v>1</v>
      </c>
      <c r="K705" s="48">
        <v>2</v>
      </c>
      <c r="M705" s="48">
        <v>46</v>
      </c>
    </row>
    <row r="706" spans="9:13" ht="12.75">
      <c r="I706" s="48">
        <v>3</v>
      </c>
      <c r="K706" s="48">
        <v>4</v>
      </c>
      <c r="M706" s="48">
        <v>60</v>
      </c>
    </row>
    <row r="707" spans="9:13" ht="12.75">
      <c r="I707" s="48">
        <v>4</v>
      </c>
      <c r="K707" s="48">
        <v>6</v>
      </c>
      <c r="M707" s="48">
        <v>77</v>
      </c>
    </row>
    <row r="708" spans="9:13" ht="12.75">
      <c r="I708" s="48">
        <v>5</v>
      </c>
      <c r="J708" s="48">
        <v>2</v>
      </c>
      <c r="K708" s="48">
        <v>4</v>
      </c>
      <c r="M708" s="48">
        <v>57</v>
      </c>
    </row>
    <row r="709" spans="9:13" ht="12.75">
      <c r="I709" s="48">
        <v>6</v>
      </c>
      <c r="K709" s="48" t="s">
        <v>845</v>
      </c>
      <c r="M709" s="48">
        <v>57</v>
      </c>
    </row>
    <row r="710" spans="9:13" ht="12.75">
      <c r="I710" s="48">
        <v>7</v>
      </c>
      <c r="K710" s="48">
        <v>5</v>
      </c>
      <c r="M710" s="48">
        <v>65</v>
      </c>
    </row>
    <row r="711" spans="9:13" ht="12.75">
      <c r="I711" s="48">
        <v>8</v>
      </c>
      <c r="K711" s="48">
        <v>6</v>
      </c>
      <c r="M711" s="48">
        <v>73</v>
      </c>
    </row>
    <row r="712" spans="9:13" ht="12.75">
      <c r="I712" s="48">
        <v>9</v>
      </c>
      <c r="J712" s="48">
        <v>3</v>
      </c>
      <c r="K712" s="48">
        <v>6</v>
      </c>
      <c r="M712" s="48">
        <v>54</v>
      </c>
    </row>
    <row r="713" ht="12.75">
      <c r="I713" s="48">
        <v>10</v>
      </c>
    </row>
    <row r="714" ht="12.75">
      <c r="I714" s="48">
        <v>11</v>
      </c>
    </row>
    <row r="715" ht="12.75">
      <c r="I715" s="48">
        <v>12</v>
      </c>
    </row>
    <row r="716" ht="12.75">
      <c r="I716" s="48">
        <v>13</v>
      </c>
    </row>
    <row r="717" ht="12.75">
      <c r="I717" s="48">
        <v>14</v>
      </c>
    </row>
    <row r="718" ht="12.75">
      <c r="I718" s="48">
        <v>15</v>
      </c>
    </row>
    <row r="719" ht="12.75">
      <c r="I719" s="48">
        <v>16</v>
      </c>
    </row>
    <row r="720" ht="12.75">
      <c r="I720" s="48">
        <v>17</v>
      </c>
    </row>
    <row r="721" ht="12.75">
      <c r="I721" s="48">
        <v>18</v>
      </c>
    </row>
    <row r="722" ht="12.75">
      <c r="I722" s="48">
        <v>19</v>
      </c>
    </row>
    <row r="723" ht="12.75">
      <c r="I723" s="48">
        <v>20</v>
      </c>
    </row>
    <row r="724" spans="9:10" ht="12.75">
      <c r="I724" s="48">
        <v>1</v>
      </c>
      <c r="J724" s="48" t="s">
        <v>647</v>
      </c>
    </row>
    <row r="725" spans="9:13" ht="12.75">
      <c r="I725" s="48">
        <v>2</v>
      </c>
      <c r="J725" s="48">
        <v>2</v>
      </c>
      <c r="K725" s="48">
        <v>4</v>
      </c>
      <c r="M725" s="48">
        <v>60</v>
      </c>
    </row>
    <row r="726" spans="9:13" ht="12.75">
      <c r="I726" s="48">
        <v>3</v>
      </c>
      <c r="K726" s="48">
        <v>5</v>
      </c>
      <c r="M726" s="48">
        <v>68</v>
      </c>
    </row>
    <row r="727" spans="9:13" ht="12.75">
      <c r="I727" s="48">
        <v>4</v>
      </c>
      <c r="K727" s="48">
        <v>6</v>
      </c>
      <c r="M727" s="48">
        <v>74</v>
      </c>
    </row>
    <row r="728" spans="9:13" ht="12.75">
      <c r="I728" s="48">
        <v>5</v>
      </c>
      <c r="K728" s="48">
        <v>8</v>
      </c>
      <c r="M728" s="48">
        <v>90</v>
      </c>
    </row>
    <row r="729" ht="12.75">
      <c r="I729" s="48">
        <v>6</v>
      </c>
    </row>
    <row r="730" ht="12.75">
      <c r="I730" s="48">
        <v>7</v>
      </c>
    </row>
    <row r="731" ht="12.75">
      <c r="I731" s="48">
        <v>8</v>
      </c>
    </row>
    <row r="732" ht="12.75">
      <c r="I732" s="48">
        <v>9</v>
      </c>
    </row>
    <row r="733" ht="12.75">
      <c r="I733" s="48">
        <v>10</v>
      </c>
    </row>
    <row r="734" ht="12.75">
      <c r="I734" s="48">
        <v>11</v>
      </c>
    </row>
    <row r="735" ht="12.75">
      <c r="I735" s="48">
        <v>12</v>
      </c>
    </row>
    <row r="736" ht="12.75">
      <c r="I736" s="48">
        <v>13</v>
      </c>
    </row>
    <row r="737" ht="12.75">
      <c r="I737" s="48">
        <v>14</v>
      </c>
    </row>
    <row r="738" ht="12.75">
      <c r="I738" s="48">
        <v>15</v>
      </c>
    </row>
    <row r="739" ht="12.75">
      <c r="I739" s="48">
        <v>16</v>
      </c>
    </row>
    <row r="740" ht="12.75">
      <c r="I740" s="48">
        <v>17</v>
      </c>
    </row>
    <row r="741" ht="12.75">
      <c r="I741" s="48">
        <v>18</v>
      </c>
    </row>
    <row r="742" ht="12.75">
      <c r="I742" s="48">
        <v>19</v>
      </c>
    </row>
    <row r="743" ht="12.75">
      <c r="I743" s="48">
        <v>20</v>
      </c>
    </row>
    <row r="744" spans="9:10" ht="12.75">
      <c r="I744" s="48">
        <v>1</v>
      </c>
      <c r="J744" s="48" t="s">
        <v>642</v>
      </c>
    </row>
    <row r="745" spans="9:13" ht="12.75">
      <c r="I745" s="48">
        <v>2</v>
      </c>
      <c r="J745" s="48">
        <v>3</v>
      </c>
      <c r="K745" s="48">
        <v>4</v>
      </c>
      <c r="M745" s="48">
        <v>47</v>
      </c>
    </row>
    <row r="746" spans="9:13" ht="12.75">
      <c r="I746" s="48">
        <v>3</v>
      </c>
      <c r="K746" s="48">
        <v>5</v>
      </c>
      <c r="M746" s="48">
        <v>55</v>
      </c>
    </row>
    <row r="747" spans="9:13" ht="12.75">
      <c r="I747" s="48">
        <v>4</v>
      </c>
      <c r="K747" s="48">
        <v>6</v>
      </c>
      <c r="M747" s="48">
        <v>62</v>
      </c>
    </row>
    <row r="748" ht="12.75">
      <c r="I748" s="48">
        <v>5</v>
      </c>
    </row>
    <row r="749" ht="12.75">
      <c r="I749" s="48">
        <v>6</v>
      </c>
    </row>
    <row r="750" ht="12.75">
      <c r="I750" s="48">
        <v>7</v>
      </c>
    </row>
    <row r="751" ht="12.75">
      <c r="I751" s="48">
        <v>8</v>
      </c>
    </row>
    <row r="752" ht="12.75">
      <c r="I752" s="48">
        <v>9</v>
      </c>
    </row>
    <row r="753" ht="12.75">
      <c r="I753" s="48">
        <v>10</v>
      </c>
    </row>
    <row r="754" ht="12.75">
      <c r="I754" s="48">
        <v>11</v>
      </c>
    </row>
    <row r="755" ht="12.75">
      <c r="I755" s="48">
        <v>12</v>
      </c>
    </row>
    <row r="756" ht="12.75">
      <c r="I756" s="48">
        <v>13</v>
      </c>
    </row>
    <row r="757" ht="12.75">
      <c r="I757" s="48">
        <v>14</v>
      </c>
    </row>
    <row r="758" ht="12.75">
      <c r="I758" s="48">
        <v>15</v>
      </c>
    </row>
    <row r="759" ht="12.75">
      <c r="I759" s="48">
        <v>16</v>
      </c>
    </row>
    <row r="760" ht="12.75">
      <c r="I760" s="48">
        <v>17</v>
      </c>
    </row>
    <row r="761" ht="12.75">
      <c r="I761" s="48">
        <v>18</v>
      </c>
    </row>
    <row r="762" ht="12.75">
      <c r="I762" s="48">
        <v>19</v>
      </c>
    </row>
    <row r="763" ht="12.75">
      <c r="I763" s="48">
        <v>20</v>
      </c>
    </row>
    <row r="764" spans="9:10" ht="12.75">
      <c r="I764" s="48">
        <v>1</v>
      </c>
      <c r="J764" s="48" t="s">
        <v>586</v>
      </c>
    </row>
    <row r="765" spans="9:13" ht="12.75">
      <c r="I765" s="48">
        <v>2</v>
      </c>
      <c r="J765" s="48">
        <v>2</v>
      </c>
      <c r="K765" s="48">
        <v>6</v>
      </c>
      <c r="M765" s="48">
        <v>73</v>
      </c>
    </row>
    <row r="766" spans="9:13" ht="12.75">
      <c r="I766" s="48">
        <v>3</v>
      </c>
      <c r="J766" s="48">
        <v>4</v>
      </c>
      <c r="K766" s="48">
        <v>4</v>
      </c>
      <c r="M766" s="48">
        <v>39</v>
      </c>
    </row>
    <row r="767" spans="9:13" ht="12.75">
      <c r="I767" s="48">
        <v>4</v>
      </c>
      <c r="K767" s="48">
        <v>6</v>
      </c>
      <c r="M767" s="48">
        <v>53</v>
      </c>
    </row>
    <row r="768" ht="12.75">
      <c r="I768" s="48">
        <v>5</v>
      </c>
    </row>
    <row r="769" ht="12.75">
      <c r="I769" s="48">
        <v>6</v>
      </c>
    </row>
    <row r="770" ht="12.75">
      <c r="I770" s="48">
        <v>7</v>
      </c>
    </row>
    <row r="771" ht="12.75">
      <c r="I771" s="48">
        <v>8</v>
      </c>
    </row>
    <row r="772" ht="12.75">
      <c r="I772" s="48">
        <v>9</v>
      </c>
    </row>
    <row r="773" ht="12.75">
      <c r="I773" s="48">
        <v>10</v>
      </c>
    </row>
    <row r="774" ht="12.75">
      <c r="I774" s="48">
        <v>11</v>
      </c>
    </row>
    <row r="775" ht="12.75">
      <c r="I775" s="48">
        <v>12</v>
      </c>
    </row>
    <row r="776" ht="12.75">
      <c r="I776" s="48">
        <v>13</v>
      </c>
    </row>
    <row r="777" ht="12.75">
      <c r="I777" s="48">
        <v>14</v>
      </c>
    </row>
    <row r="778" ht="12.75">
      <c r="I778" s="48">
        <v>15</v>
      </c>
    </row>
    <row r="779" ht="12.75">
      <c r="I779" s="48">
        <v>16</v>
      </c>
    </row>
    <row r="780" ht="12.75">
      <c r="I780" s="48">
        <v>17</v>
      </c>
    </row>
    <row r="781" ht="12.75">
      <c r="I781" s="48">
        <v>18</v>
      </c>
    </row>
    <row r="782" ht="12.75">
      <c r="I782" s="48">
        <v>19</v>
      </c>
    </row>
    <row r="783" ht="12.75">
      <c r="I783" s="48">
        <v>20</v>
      </c>
    </row>
    <row r="784" spans="9:10" ht="12.75">
      <c r="I784" s="48">
        <v>1</v>
      </c>
      <c r="J784" s="48" t="s">
        <v>593</v>
      </c>
    </row>
    <row r="785" spans="9:13" ht="12.75">
      <c r="I785" s="48">
        <v>2</v>
      </c>
      <c r="J785" s="48">
        <v>-3</v>
      </c>
      <c r="K785" s="48" t="s">
        <v>840</v>
      </c>
      <c r="M785" s="48">
        <v>201</v>
      </c>
    </row>
    <row r="786" spans="9:13" ht="12.75">
      <c r="I786" s="48">
        <v>3</v>
      </c>
      <c r="J786" s="48">
        <v>3</v>
      </c>
      <c r="K786" s="48">
        <v>6</v>
      </c>
      <c r="M786" s="48">
        <v>58</v>
      </c>
    </row>
    <row r="787" spans="9:13" ht="12.75">
      <c r="I787" s="48">
        <v>4</v>
      </c>
      <c r="J787" s="48">
        <v>5</v>
      </c>
      <c r="K787" s="48">
        <v>4</v>
      </c>
      <c r="M787" s="48">
        <v>33.5</v>
      </c>
    </row>
    <row r="788" spans="9:13" ht="12.75">
      <c r="I788" s="48">
        <v>5</v>
      </c>
      <c r="K788" s="48">
        <v>6</v>
      </c>
      <c r="M788" s="48">
        <v>46</v>
      </c>
    </row>
    <row r="789" ht="12.75">
      <c r="I789" s="48">
        <v>6</v>
      </c>
    </row>
    <row r="790" ht="12.75">
      <c r="I790" s="48">
        <v>7</v>
      </c>
    </row>
    <row r="791" ht="12.75">
      <c r="I791" s="48">
        <v>8</v>
      </c>
    </row>
    <row r="792" ht="12.75">
      <c r="I792" s="48">
        <v>9</v>
      </c>
    </row>
    <row r="793" ht="12.75">
      <c r="I793" s="48">
        <v>10</v>
      </c>
    </row>
    <row r="794" ht="12.75">
      <c r="I794" s="48">
        <v>11</v>
      </c>
    </row>
    <row r="795" ht="12.75">
      <c r="I795" s="48">
        <v>12</v>
      </c>
    </row>
    <row r="796" ht="12.75">
      <c r="I796" s="48">
        <v>13</v>
      </c>
    </row>
    <row r="797" ht="12.75">
      <c r="I797" s="48">
        <v>14</v>
      </c>
    </row>
    <row r="798" ht="12.75">
      <c r="I798" s="48">
        <v>15</v>
      </c>
    </row>
    <row r="799" ht="12.75">
      <c r="I799" s="48">
        <v>16</v>
      </c>
    </row>
    <row r="800" ht="12.75">
      <c r="I800" s="48">
        <v>17</v>
      </c>
    </row>
    <row r="801" ht="12.75">
      <c r="I801" s="48">
        <v>18</v>
      </c>
    </row>
    <row r="802" ht="12.75">
      <c r="I802" s="48">
        <v>19</v>
      </c>
    </row>
    <row r="803" ht="12.75">
      <c r="I803" s="48">
        <v>20</v>
      </c>
    </row>
    <row r="804" spans="9:10" ht="12.75">
      <c r="I804" s="48">
        <v>1</v>
      </c>
      <c r="J804" s="48" t="s">
        <v>592</v>
      </c>
    </row>
    <row r="805" spans="9:13" ht="12.75">
      <c r="I805" s="48">
        <v>2</v>
      </c>
      <c r="J805" s="48">
        <v>-2</v>
      </c>
      <c r="K805" s="48">
        <v>6</v>
      </c>
      <c r="M805" s="48">
        <v>198</v>
      </c>
    </row>
    <row r="806" spans="9:13" ht="12.75">
      <c r="I806" s="48">
        <v>3</v>
      </c>
      <c r="J806" s="48">
        <v>4</v>
      </c>
      <c r="K806" s="48">
        <v>6</v>
      </c>
      <c r="M806" s="48">
        <v>50</v>
      </c>
    </row>
    <row r="807" spans="9:13" ht="12.75">
      <c r="I807" s="48">
        <v>4</v>
      </c>
      <c r="J807" s="48">
        <v>6</v>
      </c>
      <c r="K807" s="48">
        <v>4</v>
      </c>
      <c r="M807" s="48">
        <v>28</v>
      </c>
    </row>
    <row r="808" spans="9:13" ht="12.75">
      <c r="I808" s="48">
        <v>5</v>
      </c>
      <c r="K808" s="48">
        <v>6</v>
      </c>
      <c r="M808" s="48">
        <v>42</v>
      </c>
    </row>
    <row r="809" ht="12.75">
      <c r="I809" s="48">
        <v>6</v>
      </c>
    </row>
    <row r="810" ht="12.75">
      <c r="I810" s="48">
        <v>7</v>
      </c>
    </row>
    <row r="811" ht="12.75">
      <c r="I811" s="48">
        <v>8</v>
      </c>
    </row>
    <row r="812" ht="12.75">
      <c r="I812" s="48">
        <v>9</v>
      </c>
    </row>
    <row r="813" ht="12.75">
      <c r="I813" s="48">
        <v>10</v>
      </c>
    </row>
    <row r="814" ht="12.75">
      <c r="I814" s="48">
        <v>11</v>
      </c>
    </row>
    <row r="815" ht="12.75">
      <c r="I815" s="48">
        <v>12</v>
      </c>
    </row>
    <row r="816" ht="12.75">
      <c r="I816" s="48">
        <v>13</v>
      </c>
    </row>
    <row r="817" ht="12.75">
      <c r="I817" s="48">
        <v>14</v>
      </c>
    </row>
    <row r="818" ht="12.75">
      <c r="I818" s="48">
        <v>15</v>
      </c>
    </row>
    <row r="819" ht="12.75">
      <c r="I819" s="48">
        <v>16</v>
      </c>
    </row>
    <row r="820" ht="12.75">
      <c r="I820" s="48">
        <v>17</v>
      </c>
    </row>
    <row r="821" ht="12.75">
      <c r="I821" s="48">
        <v>18</v>
      </c>
    </row>
    <row r="822" ht="12.75">
      <c r="I822" s="48">
        <v>19</v>
      </c>
    </row>
    <row r="823" ht="12.75">
      <c r="I823" s="48">
        <v>20</v>
      </c>
    </row>
    <row r="824" spans="9:10" ht="12.75">
      <c r="I824" s="48">
        <v>1</v>
      </c>
      <c r="J824" s="48" t="s">
        <v>580</v>
      </c>
    </row>
    <row r="825" spans="9:13" ht="12.75">
      <c r="I825" s="48">
        <v>2</v>
      </c>
      <c r="J825" s="48">
        <v>-1</v>
      </c>
      <c r="K825" s="48" t="s">
        <v>840</v>
      </c>
      <c r="M825" s="48">
        <v>192</v>
      </c>
    </row>
    <row r="826" spans="9:13" ht="12.75">
      <c r="I826" s="48">
        <v>3</v>
      </c>
      <c r="K826" s="48">
        <v>6</v>
      </c>
      <c r="M826" s="48">
        <v>196</v>
      </c>
    </row>
    <row r="827" spans="9:13" ht="12.75">
      <c r="I827" s="48">
        <v>4</v>
      </c>
      <c r="J827" s="48">
        <v>3</v>
      </c>
      <c r="K827" s="48" t="s">
        <v>845</v>
      </c>
      <c r="M827" s="48">
        <v>59</v>
      </c>
    </row>
    <row r="828" spans="9:13" ht="12.75">
      <c r="I828" s="48">
        <v>5</v>
      </c>
      <c r="J828" s="48">
        <v>5</v>
      </c>
      <c r="K828" s="48" t="s">
        <v>846</v>
      </c>
      <c r="M828" s="48">
        <v>31</v>
      </c>
    </row>
    <row r="829" spans="9:13" ht="12.75">
      <c r="I829" s="48">
        <v>6</v>
      </c>
      <c r="J829" s="48">
        <v>7</v>
      </c>
      <c r="K829" s="48">
        <v>4</v>
      </c>
      <c r="M829" s="48">
        <v>25</v>
      </c>
    </row>
    <row r="830" spans="9:13" ht="12.75">
      <c r="I830" s="48">
        <v>7</v>
      </c>
      <c r="K830" s="48">
        <v>6</v>
      </c>
      <c r="M830" s="48">
        <v>39</v>
      </c>
    </row>
    <row r="831" ht="12.75">
      <c r="I831" s="48">
        <v>8</v>
      </c>
    </row>
    <row r="832" ht="12.75">
      <c r="I832" s="48">
        <v>9</v>
      </c>
    </row>
    <row r="833" ht="12.75">
      <c r="I833" s="48">
        <v>10</v>
      </c>
    </row>
    <row r="834" ht="12.75">
      <c r="I834" s="48">
        <v>11</v>
      </c>
    </row>
    <row r="835" ht="12.75">
      <c r="I835" s="48">
        <v>12</v>
      </c>
    </row>
    <row r="836" ht="12.75">
      <c r="I836" s="48">
        <v>13</v>
      </c>
    </row>
    <row r="837" ht="12.75">
      <c r="I837" s="48">
        <v>14</v>
      </c>
    </row>
    <row r="838" ht="12.75">
      <c r="I838" s="48">
        <v>15</v>
      </c>
    </row>
    <row r="839" ht="12.75">
      <c r="I839" s="48">
        <v>16</v>
      </c>
    </row>
    <row r="840" ht="12.75">
      <c r="I840" s="48">
        <v>17</v>
      </c>
    </row>
    <row r="841" ht="12.75">
      <c r="I841" s="48">
        <v>18</v>
      </c>
    </row>
    <row r="842" ht="12.75">
      <c r="I842" s="48">
        <v>19</v>
      </c>
    </row>
    <row r="843" ht="12.75">
      <c r="I843" s="48">
        <v>20</v>
      </c>
    </row>
    <row r="844" spans="9:10" ht="12.75">
      <c r="I844" s="48">
        <v>1</v>
      </c>
      <c r="J844" s="48" t="s">
        <v>665</v>
      </c>
    </row>
    <row r="845" ht="12.75">
      <c r="I845" s="48">
        <v>2</v>
      </c>
    </row>
    <row r="846" ht="12.75">
      <c r="I846" s="48">
        <v>3</v>
      </c>
    </row>
    <row r="847" ht="12.75">
      <c r="I847" s="48">
        <v>4</v>
      </c>
    </row>
    <row r="848" ht="12.75">
      <c r="I848" s="48">
        <v>5</v>
      </c>
    </row>
    <row r="849" ht="12.75">
      <c r="I849" s="48">
        <v>6</v>
      </c>
    </row>
    <row r="850" ht="12.75">
      <c r="I850" s="48">
        <v>7</v>
      </c>
    </row>
    <row r="851" ht="12.75">
      <c r="I851" s="48">
        <v>8</v>
      </c>
    </row>
    <row r="852" ht="12.75">
      <c r="I852" s="48">
        <v>9</v>
      </c>
    </row>
    <row r="853" ht="12.75">
      <c r="I853" s="48">
        <v>10</v>
      </c>
    </row>
    <row r="854" ht="12.75">
      <c r="I854" s="48">
        <v>11</v>
      </c>
    </row>
    <row r="855" ht="12.75">
      <c r="I855" s="48">
        <v>12</v>
      </c>
    </row>
    <row r="856" ht="12.75">
      <c r="I856" s="48">
        <v>13</v>
      </c>
    </row>
    <row r="857" ht="12.75">
      <c r="I857" s="48">
        <v>14</v>
      </c>
    </row>
    <row r="858" ht="12.75">
      <c r="I858" s="48">
        <v>15</v>
      </c>
    </row>
    <row r="859" ht="12.75">
      <c r="I859" s="48">
        <v>16</v>
      </c>
    </row>
    <row r="860" ht="12.75">
      <c r="I860" s="48">
        <v>17</v>
      </c>
    </row>
    <row r="861" ht="12.75">
      <c r="I861" s="48">
        <v>18</v>
      </c>
    </row>
    <row r="862" ht="12.75">
      <c r="I862" s="48">
        <v>19</v>
      </c>
    </row>
    <row r="863" ht="12.75">
      <c r="I863" s="48">
        <v>20</v>
      </c>
    </row>
    <row r="864" spans="9:10" ht="12.75">
      <c r="I864" s="48">
        <v>1</v>
      </c>
      <c r="J864" s="48" t="s">
        <v>588</v>
      </c>
    </row>
    <row r="865" spans="9:13" ht="12.75">
      <c r="I865" s="48">
        <v>2</v>
      </c>
      <c r="J865" s="48">
        <v>-1</v>
      </c>
      <c r="K865" s="48">
        <v>6</v>
      </c>
      <c r="M865" s="48">
        <v>347</v>
      </c>
    </row>
    <row r="866" spans="9:13" ht="12.75">
      <c r="I866" s="48">
        <v>3</v>
      </c>
      <c r="J866" s="48">
        <v>1</v>
      </c>
      <c r="K866" s="48">
        <v>6</v>
      </c>
      <c r="M866" s="48">
        <v>152</v>
      </c>
    </row>
    <row r="867" spans="9:13" ht="12.75">
      <c r="I867" s="48">
        <v>4</v>
      </c>
      <c r="K867" s="48">
        <v>7</v>
      </c>
      <c r="M867" s="48">
        <v>156</v>
      </c>
    </row>
    <row r="868" spans="9:13" ht="12.75">
      <c r="I868" s="48">
        <v>5</v>
      </c>
      <c r="K868" s="48">
        <v>8</v>
      </c>
      <c r="M868" s="48">
        <v>161</v>
      </c>
    </row>
    <row r="869" spans="9:13" ht="12.75">
      <c r="I869" s="48">
        <v>6</v>
      </c>
      <c r="K869" s="48">
        <v>9</v>
      </c>
      <c r="M869" s="48">
        <v>163</v>
      </c>
    </row>
    <row r="870" spans="9:13" ht="12.75">
      <c r="I870" s="48">
        <v>7</v>
      </c>
      <c r="K870" s="48">
        <v>10</v>
      </c>
      <c r="M870" s="48">
        <v>166</v>
      </c>
    </row>
    <row r="871" spans="9:13" ht="12.75">
      <c r="I871" s="48">
        <v>8</v>
      </c>
      <c r="K871" s="48">
        <v>11</v>
      </c>
      <c r="M871" s="48">
        <v>169</v>
      </c>
    </row>
    <row r="872" spans="9:13" ht="12.75">
      <c r="I872" s="48">
        <v>9</v>
      </c>
      <c r="K872" s="48">
        <v>12</v>
      </c>
      <c r="M872" s="48">
        <v>172</v>
      </c>
    </row>
    <row r="873" spans="9:13" ht="12.75">
      <c r="I873" s="48">
        <v>10</v>
      </c>
      <c r="K873" s="48">
        <v>14</v>
      </c>
      <c r="M873" s="48">
        <v>183</v>
      </c>
    </row>
    <row r="874" ht="12.75">
      <c r="I874" s="48">
        <v>11</v>
      </c>
    </row>
    <row r="875" ht="12.75">
      <c r="I875" s="48">
        <v>12</v>
      </c>
    </row>
    <row r="876" ht="12.75">
      <c r="I876" s="48">
        <v>13</v>
      </c>
    </row>
    <row r="877" ht="12.75">
      <c r="I877" s="48">
        <v>14</v>
      </c>
    </row>
    <row r="878" ht="12.75">
      <c r="I878" s="48">
        <v>15</v>
      </c>
    </row>
    <row r="879" ht="12.75">
      <c r="I879" s="48">
        <v>16</v>
      </c>
    </row>
    <row r="880" ht="12.75">
      <c r="I880" s="48">
        <v>17</v>
      </c>
    </row>
    <row r="881" ht="12.75">
      <c r="I881" s="48">
        <v>18</v>
      </c>
    </row>
    <row r="882" ht="12.75">
      <c r="I882" s="48">
        <v>19</v>
      </c>
    </row>
    <row r="883" ht="12.75">
      <c r="I883" s="48">
        <v>20</v>
      </c>
    </row>
    <row r="884" spans="9:10" ht="12.75">
      <c r="I884" s="48">
        <v>1</v>
      </c>
      <c r="J884" s="48" t="s">
        <v>624</v>
      </c>
    </row>
    <row r="885" spans="9:13" ht="12.75">
      <c r="I885" s="48">
        <v>2</v>
      </c>
      <c r="J885" s="48">
        <v>2</v>
      </c>
      <c r="K885" s="48">
        <v>6</v>
      </c>
      <c r="M885" s="48">
        <v>118</v>
      </c>
    </row>
    <row r="886" spans="9:13" ht="12.75">
      <c r="I886" s="48">
        <v>3</v>
      </c>
      <c r="K886" s="48">
        <v>7</v>
      </c>
      <c r="M886" s="48">
        <v>121</v>
      </c>
    </row>
    <row r="887" spans="9:13" ht="12.75">
      <c r="I887" s="48">
        <v>4</v>
      </c>
      <c r="K887" s="48">
        <v>8</v>
      </c>
      <c r="M887" s="48">
        <v>126</v>
      </c>
    </row>
    <row r="888" spans="9:13" ht="12.75">
      <c r="I888" s="48">
        <v>5</v>
      </c>
      <c r="K888" s="48">
        <v>9</v>
      </c>
      <c r="M888" s="48">
        <v>131</v>
      </c>
    </row>
    <row r="889" spans="9:13" ht="12.75">
      <c r="I889" s="48">
        <v>6</v>
      </c>
      <c r="K889" s="48">
        <v>10</v>
      </c>
      <c r="M889" s="48">
        <v>136</v>
      </c>
    </row>
    <row r="890" spans="9:13" ht="12.75">
      <c r="I890" s="48">
        <v>7</v>
      </c>
      <c r="K890" s="48">
        <v>12</v>
      </c>
      <c r="M890" s="48">
        <v>144</v>
      </c>
    </row>
    <row r="891" ht="12.75">
      <c r="I891" s="48">
        <v>8</v>
      </c>
    </row>
    <row r="892" ht="12.75">
      <c r="I892" s="48">
        <v>9</v>
      </c>
    </row>
    <row r="893" ht="12.75">
      <c r="I893" s="48">
        <v>10</v>
      </c>
    </row>
    <row r="894" ht="12.75">
      <c r="I894" s="48">
        <v>11</v>
      </c>
    </row>
    <row r="895" ht="12.75">
      <c r="I895" s="48">
        <v>12</v>
      </c>
    </row>
    <row r="896" ht="12.75">
      <c r="I896" s="48">
        <v>13</v>
      </c>
    </row>
    <row r="897" ht="12.75">
      <c r="I897" s="48">
        <v>14</v>
      </c>
    </row>
    <row r="898" ht="12.75">
      <c r="I898" s="48">
        <v>15</v>
      </c>
    </row>
    <row r="899" ht="12.75">
      <c r="I899" s="48">
        <v>16</v>
      </c>
    </row>
    <row r="900" ht="12.75">
      <c r="I900" s="48">
        <v>17</v>
      </c>
    </row>
    <row r="901" ht="12.75">
      <c r="I901" s="48">
        <v>18</v>
      </c>
    </row>
    <row r="902" ht="12.75">
      <c r="I902" s="48">
        <v>19</v>
      </c>
    </row>
    <row r="903" ht="12.75">
      <c r="I903" s="48">
        <v>20</v>
      </c>
    </row>
    <row r="904" spans="9:10" ht="12.75">
      <c r="I904" s="48">
        <v>1</v>
      </c>
      <c r="J904" s="48" t="s">
        <v>623</v>
      </c>
    </row>
    <row r="905" spans="9:13" ht="12.75">
      <c r="I905" s="48">
        <v>2</v>
      </c>
      <c r="J905" s="48">
        <v>3</v>
      </c>
      <c r="K905" s="48">
        <v>6</v>
      </c>
      <c r="M905" s="48">
        <v>90</v>
      </c>
    </row>
    <row r="906" spans="9:13" ht="12.75">
      <c r="I906" s="48">
        <v>3</v>
      </c>
      <c r="K906" s="48">
        <v>7</v>
      </c>
      <c r="M906" s="48">
        <v>96</v>
      </c>
    </row>
    <row r="907" spans="9:13" ht="12.75">
      <c r="I907" s="48">
        <v>4</v>
      </c>
      <c r="K907" s="48">
        <v>8</v>
      </c>
      <c r="M907" s="48">
        <v>101.9</v>
      </c>
    </row>
    <row r="908" spans="9:13" ht="12.75">
      <c r="I908" s="48">
        <v>5</v>
      </c>
      <c r="K908" s="48">
        <v>9</v>
      </c>
      <c r="M908" s="48">
        <v>107.5</v>
      </c>
    </row>
    <row r="909" ht="12.75">
      <c r="I909" s="48">
        <v>6</v>
      </c>
    </row>
    <row r="910" ht="12.75">
      <c r="I910" s="48">
        <v>7</v>
      </c>
    </row>
    <row r="911" ht="12.75">
      <c r="I911" s="48">
        <v>8</v>
      </c>
    </row>
    <row r="912" ht="12.75">
      <c r="I912" s="48">
        <v>9</v>
      </c>
    </row>
    <row r="913" ht="12.75">
      <c r="I913" s="48">
        <v>10</v>
      </c>
    </row>
    <row r="914" ht="12.75">
      <c r="I914" s="48">
        <v>11</v>
      </c>
    </row>
    <row r="915" ht="12.75">
      <c r="I915" s="48">
        <v>12</v>
      </c>
    </row>
    <row r="916" ht="12.75">
      <c r="I916" s="48">
        <v>13</v>
      </c>
    </row>
    <row r="917" ht="12.75">
      <c r="I917" s="48">
        <v>14</v>
      </c>
    </row>
    <row r="918" ht="12.75">
      <c r="I918" s="48">
        <v>15</v>
      </c>
    </row>
    <row r="919" ht="12.75">
      <c r="I919" s="48">
        <v>16</v>
      </c>
    </row>
    <row r="920" ht="12.75">
      <c r="I920" s="48">
        <v>17</v>
      </c>
    </row>
    <row r="921" ht="12.75">
      <c r="I921" s="48">
        <v>18</v>
      </c>
    </row>
    <row r="922" ht="12.75">
      <c r="I922" s="48">
        <v>19</v>
      </c>
    </row>
    <row r="923" ht="12.75">
      <c r="I923" s="48">
        <v>20</v>
      </c>
    </row>
    <row r="924" spans="9:10" ht="12.75">
      <c r="I924" s="48">
        <v>1</v>
      </c>
      <c r="J924" s="48" t="s">
        <v>611</v>
      </c>
    </row>
    <row r="925" spans="9:13" ht="12.75">
      <c r="I925" s="48">
        <v>2</v>
      </c>
      <c r="J925" s="48">
        <v>4</v>
      </c>
      <c r="K925" s="48">
        <v>4</v>
      </c>
      <c r="M925" s="48">
        <v>59</v>
      </c>
    </row>
    <row r="926" spans="9:13" ht="12.75">
      <c r="I926" s="48">
        <v>3</v>
      </c>
      <c r="K926" s="48">
        <v>5</v>
      </c>
      <c r="M926" s="48">
        <v>66</v>
      </c>
    </row>
    <row r="927" spans="9:13" ht="12.75">
      <c r="I927" s="48">
        <v>4</v>
      </c>
      <c r="K927" s="48">
        <v>6</v>
      </c>
      <c r="M927" s="48">
        <v>72</v>
      </c>
    </row>
    <row r="928" spans="9:13" ht="12.75">
      <c r="I928" s="48">
        <v>5</v>
      </c>
      <c r="K928" s="48">
        <v>7</v>
      </c>
      <c r="M928" s="48">
        <v>78</v>
      </c>
    </row>
    <row r="929" spans="9:13" ht="12.75">
      <c r="I929" s="48">
        <v>6</v>
      </c>
      <c r="K929" s="48">
        <v>8</v>
      </c>
      <c r="M929" s="48">
        <v>84</v>
      </c>
    </row>
    <row r="930" spans="9:13" ht="12.75">
      <c r="I930" s="48">
        <v>7</v>
      </c>
      <c r="K930" s="48">
        <v>9</v>
      </c>
      <c r="M930" s="48">
        <v>89</v>
      </c>
    </row>
    <row r="931" ht="12.75">
      <c r="I931" s="48">
        <v>8</v>
      </c>
    </row>
    <row r="932" ht="12.75">
      <c r="I932" s="48">
        <v>9</v>
      </c>
    </row>
    <row r="933" ht="12.75">
      <c r="I933" s="48">
        <v>10</v>
      </c>
    </row>
    <row r="934" ht="12.75">
      <c r="I934" s="48">
        <v>11</v>
      </c>
    </row>
    <row r="935" ht="12.75">
      <c r="I935" s="48">
        <v>12</v>
      </c>
    </row>
    <row r="936" ht="12.75">
      <c r="I936" s="48">
        <v>13</v>
      </c>
    </row>
    <row r="937" ht="12.75">
      <c r="I937" s="48">
        <v>14</v>
      </c>
    </row>
    <row r="938" ht="12.75">
      <c r="I938" s="48">
        <v>15</v>
      </c>
    </row>
    <row r="939" ht="12.75">
      <c r="I939" s="48">
        <v>16</v>
      </c>
    </row>
    <row r="940" ht="12.75">
      <c r="I940" s="48">
        <v>17</v>
      </c>
    </row>
    <row r="941" ht="12.75">
      <c r="I941" s="48">
        <v>18</v>
      </c>
    </row>
    <row r="942" ht="12.75">
      <c r="I942" s="48">
        <v>19</v>
      </c>
    </row>
    <row r="943" ht="12.75">
      <c r="I943" s="48">
        <v>20</v>
      </c>
    </row>
    <row r="944" spans="9:10" ht="12.75">
      <c r="I944" s="48">
        <v>1</v>
      </c>
      <c r="J944" s="48" t="s">
        <v>613</v>
      </c>
    </row>
    <row r="945" spans="9:13" ht="12.75">
      <c r="I945" s="48">
        <v>2</v>
      </c>
      <c r="J945" s="48">
        <v>3</v>
      </c>
      <c r="K945" s="48">
        <v>6</v>
      </c>
      <c r="M945" s="48">
        <v>72</v>
      </c>
    </row>
    <row r="946" spans="9:13" ht="12.75">
      <c r="I946" s="48">
        <v>3</v>
      </c>
      <c r="J946" s="48">
        <v>4</v>
      </c>
      <c r="K946" s="48">
        <v>6</v>
      </c>
      <c r="M946" s="48">
        <v>68</v>
      </c>
    </row>
    <row r="947" spans="9:13" ht="12.75">
      <c r="I947" s="48">
        <v>4</v>
      </c>
      <c r="K947" s="48">
        <v>8</v>
      </c>
      <c r="M947" s="48">
        <v>79</v>
      </c>
    </row>
    <row r="948" spans="9:13" ht="12.75">
      <c r="I948" s="48">
        <v>5</v>
      </c>
      <c r="J948" s="48">
        <v>5</v>
      </c>
      <c r="K948" s="48">
        <v>4</v>
      </c>
      <c r="M948" s="48">
        <v>48</v>
      </c>
    </row>
    <row r="949" spans="9:13" ht="12.75">
      <c r="I949" s="48">
        <v>6</v>
      </c>
      <c r="K949" s="48">
        <v>6</v>
      </c>
      <c r="M949" s="48">
        <v>64</v>
      </c>
    </row>
    <row r="950" spans="9:13" ht="12.75">
      <c r="I950" s="48">
        <v>7</v>
      </c>
      <c r="K950" s="48">
        <v>7</v>
      </c>
      <c r="M950" s="48">
        <v>69</v>
      </c>
    </row>
    <row r="951" spans="9:13" ht="12.75">
      <c r="I951" s="48">
        <v>8</v>
      </c>
      <c r="K951" s="48">
        <v>8</v>
      </c>
      <c r="M951" s="48">
        <v>74</v>
      </c>
    </row>
    <row r="952" ht="12.75">
      <c r="I952" s="48">
        <v>9</v>
      </c>
    </row>
    <row r="953" ht="12.75">
      <c r="I953" s="48">
        <v>10</v>
      </c>
    </row>
    <row r="954" ht="12.75">
      <c r="I954" s="48">
        <v>11</v>
      </c>
    </row>
    <row r="955" ht="12.75">
      <c r="I955" s="48">
        <v>12</v>
      </c>
    </row>
    <row r="956" ht="12.75">
      <c r="I956" s="48">
        <v>13</v>
      </c>
    </row>
    <row r="957" ht="12.75">
      <c r="I957" s="48">
        <v>14</v>
      </c>
    </row>
    <row r="958" ht="12.75">
      <c r="I958" s="48">
        <v>15</v>
      </c>
    </row>
    <row r="959" ht="12.75">
      <c r="I959" s="48">
        <v>16</v>
      </c>
    </row>
    <row r="960" ht="12.75">
      <c r="I960" s="48">
        <v>17</v>
      </c>
    </row>
    <row r="961" ht="12.75">
      <c r="I961" s="48">
        <v>18</v>
      </c>
    </row>
    <row r="962" ht="12.75">
      <c r="I962" s="48">
        <v>19</v>
      </c>
    </row>
    <row r="963" ht="12.75">
      <c r="I963" s="48">
        <v>20</v>
      </c>
    </row>
    <row r="964" spans="9:10" ht="12.75">
      <c r="I964" s="48">
        <v>1</v>
      </c>
      <c r="J964" s="48" t="s">
        <v>666</v>
      </c>
    </row>
    <row r="965" spans="9:13" ht="12.75">
      <c r="I965" s="48">
        <v>2</v>
      </c>
      <c r="J965" s="48">
        <v>3</v>
      </c>
      <c r="K965" s="48">
        <v>4</v>
      </c>
      <c r="M965" s="48">
        <v>69</v>
      </c>
    </row>
    <row r="966" spans="9:13" ht="12.75">
      <c r="I966" s="48">
        <v>3</v>
      </c>
      <c r="J966" s="48">
        <v>4</v>
      </c>
      <c r="K966" s="48">
        <v>6</v>
      </c>
      <c r="M966" s="48">
        <v>65</v>
      </c>
    </row>
    <row r="967" spans="9:13" ht="12.75">
      <c r="I967" s="48">
        <v>4</v>
      </c>
      <c r="J967" s="48">
        <v>5</v>
      </c>
      <c r="K967" s="48">
        <v>4</v>
      </c>
      <c r="M967" s="48">
        <v>46</v>
      </c>
    </row>
    <row r="968" spans="9:13" ht="12.75">
      <c r="I968" s="48">
        <v>5</v>
      </c>
      <c r="K968" s="48">
        <v>6</v>
      </c>
      <c r="M968" s="48">
        <v>61</v>
      </c>
    </row>
    <row r="969" spans="9:13" ht="12.75">
      <c r="I969" s="48">
        <v>6</v>
      </c>
      <c r="J969" s="48">
        <v>6</v>
      </c>
      <c r="K969" s="48">
        <v>4</v>
      </c>
      <c r="M969" s="48">
        <v>41</v>
      </c>
    </row>
    <row r="970" spans="9:13" ht="12.75">
      <c r="I970" s="48">
        <v>7</v>
      </c>
      <c r="K970" s="48">
        <v>5</v>
      </c>
      <c r="M970" s="48">
        <v>50</v>
      </c>
    </row>
    <row r="971" spans="9:13" ht="12.75">
      <c r="I971" s="48">
        <v>8</v>
      </c>
      <c r="K971" s="48">
        <v>6</v>
      </c>
      <c r="M971" s="48">
        <v>59</v>
      </c>
    </row>
    <row r="972" spans="9:13" ht="12.75">
      <c r="I972" s="48">
        <v>9</v>
      </c>
      <c r="K972" s="48">
        <v>7</v>
      </c>
      <c r="M972" s="48">
        <v>73</v>
      </c>
    </row>
    <row r="973" ht="12.75">
      <c r="I973" s="48">
        <v>10</v>
      </c>
    </row>
    <row r="974" ht="12.75">
      <c r="I974" s="48">
        <v>11</v>
      </c>
    </row>
    <row r="975" ht="12.75">
      <c r="I975" s="48">
        <v>12</v>
      </c>
    </row>
    <row r="976" ht="12.75">
      <c r="I976" s="48">
        <v>13</v>
      </c>
    </row>
    <row r="977" ht="12.75">
      <c r="I977" s="48">
        <v>14</v>
      </c>
    </row>
    <row r="978" ht="12.75">
      <c r="I978" s="48">
        <v>15</v>
      </c>
    </row>
    <row r="979" ht="12.75">
      <c r="I979" s="48">
        <v>16</v>
      </c>
    </row>
    <row r="980" ht="12.75">
      <c r="I980" s="48">
        <v>17</v>
      </c>
    </row>
    <row r="981" ht="12.75">
      <c r="I981" s="48">
        <v>18</v>
      </c>
    </row>
    <row r="982" ht="12.75">
      <c r="I982" s="48">
        <v>19</v>
      </c>
    </row>
    <row r="983" ht="12.75">
      <c r="I983" s="48">
        <v>20</v>
      </c>
    </row>
    <row r="984" spans="9:10" ht="12.75">
      <c r="I984" s="48">
        <v>1</v>
      </c>
      <c r="J984" s="48" t="s">
        <v>668</v>
      </c>
    </row>
    <row r="985" spans="9:13" ht="12.75">
      <c r="I985" s="48">
        <v>2</v>
      </c>
      <c r="J985" s="48">
        <v>4</v>
      </c>
      <c r="K985" s="48">
        <v>6</v>
      </c>
      <c r="M985" s="48">
        <v>64.5</v>
      </c>
    </row>
    <row r="986" spans="9:13" ht="12.75">
      <c r="I986" s="48">
        <v>3</v>
      </c>
      <c r="J986" s="48">
        <v>5</v>
      </c>
      <c r="K986" s="48">
        <v>6</v>
      </c>
      <c r="M986" s="48">
        <v>60</v>
      </c>
    </row>
    <row r="987" spans="9:13" ht="12.75">
      <c r="I987" s="48">
        <v>4</v>
      </c>
      <c r="J987" s="48">
        <v>7</v>
      </c>
      <c r="K987" s="48">
        <v>4</v>
      </c>
      <c r="M987" s="48">
        <v>37</v>
      </c>
    </row>
    <row r="988" spans="9:13" ht="12.75">
      <c r="I988" s="48">
        <v>5</v>
      </c>
      <c r="K988" s="48">
        <v>6</v>
      </c>
      <c r="M988" s="48">
        <v>56</v>
      </c>
    </row>
    <row r="989" ht="12.75">
      <c r="I989" s="48">
        <v>6</v>
      </c>
    </row>
    <row r="990" ht="12.75">
      <c r="I990" s="48">
        <v>7</v>
      </c>
    </row>
    <row r="991" ht="12.75">
      <c r="I991" s="48">
        <v>8</v>
      </c>
    </row>
    <row r="992" ht="12.75">
      <c r="I992" s="48">
        <v>9</v>
      </c>
    </row>
    <row r="993" ht="12.75">
      <c r="I993" s="48">
        <v>10</v>
      </c>
    </row>
    <row r="994" ht="12.75">
      <c r="I994" s="48">
        <v>11</v>
      </c>
    </row>
    <row r="995" ht="12.75">
      <c r="I995" s="48">
        <v>12</v>
      </c>
    </row>
    <row r="996" ht="12.75">
      <c r="I996" s="48">
        <v>13</v>
      </c>
    </row>
    <row r="997" ht="12.75">
      <c r="I997" s="48">
        <v>14</v>
      </c>
    </row>
    <row r="998" ht="12.75">
      <c r="I998" s="48">
        <v>15</v>
      </c>
    </row>
    <row r="999" ht="12.75">
      <c r="I999" s="48">
        <v>16</v>
      </c>
    </row>
    <row r="1000" ht="12.75">
      <c r="I1000" s="48">
        <v>17</v>
      </c>
    </row>
    <row r="1001" ht="12.75">
      <c r="I1001" s="48">
        <v>18</v>
      </c>
    </row>
    <row r="1002" ht="12.75">
      <c r="I1002" s="48">
        <v>19</v>
      </c>
    </row>
    <row r="1003" ht="12.75">
      <c r="I1003" s="48">
        <v>20</v>
      </c>
    </row>
    <row r="1004" spans="9:10" ht="12.75">
      <c r="I1004" s="48">
        <v>1</v>
      </c>
      <c r="J1004" s="48" t="s">
        <v>670</v>
      </c>
    </row>
    <row r="1005" spans="9:13" ht="12.75">
      <c r="I1005" s="48">
        <v>2</v>
      </c>
      <c r="J1005" s="48">
        <v>3</v>
      </c>
      <c r="K1005" s="48">
        <v>6</v>
      </c>
      <c r="M1005" s="48">
        <v>68</v>
      </c>
    </row>
    <row r="1006" spans="9:13" ht="12.75">
      <c r="I1006" s="48">
        <v>3</v>
      </c>
      <c r="J1006" s="48">
        <v>4</v>
      </c>
      <c r="K1006" s="48">
        <v>6</v>
      </c>
      <c r="M1006" s="48">
        <v>62</v>
      </c>
    </row>
    <row r="1007" spans="9:13" ht="12.75">
      <c r="I1007" s="48">
        <v>4</v>
      </c>
      <c r="J1007" s="48">
        <v>5</v>
      </c>
      <c r="K1007" s="48">
        <v>6</v>
      </c>
      <c r="M1007" s="48">
        <v>56.5</v>
      </c>
    </row>
    <row r="1008" spans="9:13" ht="12.75">
      <c r="I1008" s="48">
        <v>5</v>
      </c>
      <c r="J1008" s="48">
        <v>7</v>
      </c>
      <c r="K1008" s="48">
        <v>4</v>
      </c>
      <c r="M1008" s="48">
        <v>38</v>
      </c>
    </row>
    <row r="1009" spans="9:13" ht="12.75">
      <c r="I1009" s="48">
        <v>6</v>
      </c>
      <c r="J1009" s="48">
        <v>8</v>
      </c>
      <c r="K1009" s="48">
        <v>4</v>
      </c>
      <c r="M1009" s="48">
        <v>36</v>
      </c>
    </row>
    <row r="1010" ht="12.75">
      <c r="I1010" s="48">
        <v>7</v>
      </c>
    </row>
    <row r="1011" ht="12.75">
      <c r="I1011" s="48">
        <v>8</v>
      </c>
    </row>
    <row r="1012" ht="12.75">
      <c r="I1012" s="48">
        <v>9</v>
      </c>
    </row>
    <row r="1013" ht="12.75">
      <c r="I1013" s="48">
        <v>10</v>
      </c>
    </row>
    <row r="1014" ht="12.75">
      <c r="I1014" s="48">
        <v>11</v>
      </c>
    </row>
    <row r="1015" ht="12.75">
      <c r="I1015" s="48">
        <v>12</v>
      </c>
    </row>
    <row r="1016" ht="12.75">
      <c r="I1016" s="48">
        <v>13</v>
      </c>
    </row>
    <row r="1017" ht="12.75">
      <c r="I1017" s="48">
        <v>14</v>
      </c>
    </row>
    <row r="1018" ht="12.75">
      <c r="I1018" s="48">
        <v>15</v>
      </c>
    </row>
    <row r="1019" ht="12.75">
      <c r="I1019" s="48">
        <v>16</v>
      </c>
    </row>
    <row r="1020" ht="12.75">
      <c r="I1020" s="48">
        <v>17</v>
      </c>
    </row>
    <row r="1021" ht="12.75">
      <c r="I1021" s="48">
        <v>18</v>
      </c>
    </row>
    <row r="1022" ht="12.75">
      <c r="I1022" s="48">
        <v>19</v>
      </c>
    </row>
    <row r="1023" ht="12.75">
      <c r="I1023" s="48">
        <v>20</v>
      </c>
    </row>
    <row r="1024" spans="9:10" ht="12.75">
      <c r="I1024" s="48">
        <v>1</v>
      </c>
      <c r="J1024" s="48" t="s">
        <v>671</v>
      </c>
    </row>
    <row r="1025" spans="9:13" ht="12.75">
      <c r="I1025" s="48">
        <v>2</v>
      </c>
      <c r="J1025" s="48">
        <v>3</v>
      </c>
      <c r="K1025" s="48">
        <v>6</v>
      </c>
      <c r="M1025" s="48">
        <v>66</v>
      </c>
    </row>
    <row r="1026" spans="9:13" ht="12.75">
      <c r="I1026" s="48">
        <v>3</v>
      </c>
      <c r="J1026" s="48">
        <v>4</v>
      </c>
      <c r="K1026" s="48">
        <v>6</v>
      </c>
      <c r="M1026" s="48">
        <v>60</v>
      </c>
    </row>
    <row r="1027" spans="9:13" ht="12.75">
      <c r="I1027" s="48">
        <v>4</v>
      </c>
      <c r="J1027" s="48">
        <v>5</v>
      </c>
      <c r="K1027" s="48">
        <v>6</v>
      </c>
      <c r="M1027" s="48">
        <v>55</v>
      </c>
    </row>
    <row r="1028" ht="12.75">
      <c r="I1028" s="48">
        <v>5</v>
      </c>
    </row>
    <row r="1029" ht="12.75">
      <c r="I1029" s="48">
        <v>6</v>
      </c>
    </row>
    <row r="1030" ht="12.75">
      <c r="I1030" s="48">
        <v>7</v>
      </c>
    </row>
    <row r="1031" ht="12.75">
      <c r="I1031" s="48">
        <v>8</v>
      </c>
    </row>
    <row r="1032" ht="12.75">
      <c r="I1032" s="48">
        <v>9</v>
      </c>
    </row>
    <row r="1033" ht="12.75">
      <c r="I1033" s="48">
        <v>10</v>
      </c>
    </row>
    <row r="1034" ht="12.75">
      <c r="I1034" s="48">
        <v>11</v>
      </c>
    </row>
    <row r="1035" ht="12.75">
      <c r="I1035" s="48">
        <v>12</v>
      </c>
    </row>
    <row r="1036" ht="12.75">
      <c r="I1036" s="48">
        <v>13</v>
      </c>
    </row>
    <row r="1037" ht="12.75">
      <c r="I1037" s="48">
        <v>14</v>
      </c>
    </row>
    <row r="1038" ht="12.75">
      <c r="I1038" s="48">
        <v>15</v>
      </c>
    </row>
    <row r="1039" ht="12.75">
      <c r="I1039" s="48">
        <v>16</v>
      </c>
    </row>
    <row r="1040" ht="12.75">
      <c r="I1040" s="48">
        <v>17</v>
      </c>
    </row>
    <row r="1041" ht="12.75">
      <c r="I1041" s="48">
        <v>18</v>
      </c>
    </row>
    <row r="1042" ht="12.75">
      <c r="I1042" s="48">
        <v>19</v>
      </c>
    </row>
    <row r="1043" ht="12.75">
      <c r="I1043" s="48">
        <v>20</v>
      </c>
    </row>
    <row r="1044" spans="9:10" ht="12.75">
      <c r="I1044" s="48">
        <v>1</v>
      </c>
      <c r="J1044" s="48" t="s">
        <v>643</v>
      </c>
    </row>
    <row r="1045" spans="9:13" ht="12.75">
      <c r="I1045" s="48">
        <v>2</v>
      </c>
      <c r="J1045" s="48">
        <v>1</v>
      </c>
      <c r="K1045" s="48">
        <v>2</v>
      </c>
      <c r="M1045" s="48">
        <v>59</v>
      </c>
    </row>
    <row r="1046" spans="9:13" ht="12.75">
      <c r="I1046" s="48">
        <v>3</v>
      </c>
      <c r="J1046" s="48">
        <v>2</v>
      </c>
      <c r="K1046" s="48" t="s">
        <v>845</v>
      </c>
      <c r="M1046" s="48">
        <v>64</v>
      </c>
    </row>
    <row r="1047" spans="9:13" ht="12.75">
      <c r="I1047" s="48">
        <v>4</v>
      </c>
      <c r="K1047" s="48">
        <v>6</v>
      </c>
      <c r="M1047" s="48">
        <v>86</v>
      </c>
    </row>
    <row r="1048" spans="9:13" ht="12.75">
      <c r="I1048" s="48">
        <v>5</v>
      </c>
      <c r="J1048" s="48">
        <v>3</v>
      </c>
      <c r="K1048" s="48">
        <v>6</v>
      </c>
      <c r="M1048" s="48">
        <v>76</v>
      </c>
    </row>
    <row r="1049" spans="9:13" ht="12.75">
      <c r="I1049" s="48">
        <v>6</v>
      </c>
      <c r="J1049" s="48">
        <v>4</v>
      </c>
      <c r="K1049" s="48">
        <v>6</v>
      </c>
      <c r="M1049" s="48">
        <v>61.5</v>
      </c>
    </row>
    <row r="1050" ht="12.75">
      <c r="I1050" s="48">
        <v>7</v>
      </c>
    </row>
    <row r="1051" ht="12.75">
      <c r="I1051" s="48">
        <v>8</v>
      </c>
    </row>
    <row r="1052" ht="12.75">
      <c r="I1052" s="48">
        <v>9</v>
      </c>
    </row>
    <row r="1053" ht="12.75">
      <c r="I1053" s="48">
        <v>10</v>
      </c>
    </row>
    <row r="1054" ht="12.75">
      <c r="I1054" s="48">
        <v>11</v>
      </c>
    </row>
    <row r="1055" ht="12.75">
      <c r="I1055" s="48">
        <v>12</v>
      </c>
    </row>
    <row r="1056" ht="12.75">
      <c r="I1056" s="48">
        <v>13</v>
      </c>
    </row>
    <row r="1057" ht="12.75">
      <c r="I1057" s="48">
        <v>14</v>
      </c>
    </row>
    <row r="1058" ht="12.75">
      <c r="I1058" s="48">
        <v>15</v>
      </c>
    </row>
    <row r="1059" ht="12.75">
      <c r="I1059" s="48">
        <v>16</v>
      </c>
    </row>
    <row r="1060" ht="12.75">
      <c r="I1060" s="48">
        <v>17</v>
      </c>
    </row>
    <row r="1061" ht="12.75">
      <c r="I1061" s="48">
        <v>18</v>
      </c>
    </row>
    <row r="1062" ht="12.75">
      <c r="I1062" s="48">
        <v>19</v>
      </c>
    </row>
    <row r="1063" ht="12.75">
      <c r="I1063" s="48">
        <v>20</v>
      </c>
    </row>
    <row r="1064" spans="9:10" ht="12.75">
      <c r="I1064" s="48">
        <v>1</v>
      </c>
      <c r="J1064" s="48" t="s">
        <v>615</v>
      </c>
    </row>
    <row r="1065" spans="9:13" ht="12.75">
      <c r="I1065" s="48">
        <v>2</v>
      </c>
      <c r="J1065" s="48">
        <v>1</v>
      </c>
      <c r="K1065" s="48">
        <v>2</v>
      </c>
      <c r="M1065" s="48">
        <v>67</v>
      </c>
    </row>
    <row r="1066" spans="9:13" ht="12.75">
      <c r="I1066" s="48">
        <v>3</v>
      </c>
      <c r="K1066" s="48">
        <v>4</v>
      </c>
      <c r="M1066" s="48">
        <v>100</v>
      </c>
    </row>
    <row r="1067" spans="9:13" ht="12.75">
      <c r="I1067" s="48">
        <v>4</v>
      </c>
      <c r="K1067" s="48" t="s">
        <v>845</v>
      </c>
      <c r="M1067" s="48">
        <v>102</v>
      </c>
    </row>
    <row r="1068" spans="9:13" ht="12.75">
      <c r="I1068" s="48">
        <v>5</v>
      </c>
      <c r="K1068" s="48">
        <v>5</v>
      </c>
      <c r="M1068" s="48">
        <v>109</v>
      </c>
    </row>
    <row r="1069" spans="9:13" ht="12.75">
      <c r="I1069" s="48">
        <v>6</v>
      </c>
      <c r="K1069" s="48">
        <v>6</v>
      </c>
      <c r="M1069" s="48">
        <v>115</v>
      </c>
    </row>
    <row r="1070" spans="9:13" ht="12.75">
      <c r="I1070" s="48">
        <v>7</v>
      </c>
      <c r="K1070" s="48">
        <v>7</v>
      </c>
      <c r="M1070" s="48">
        <v>122</v>
      </c>
    </row>
    <row r="1071" spans="9:13" ht="12.75">
      <c r="I1071" s="48">
        <v>8</v>
      </c>
      <c r="K1071" s="48">
        <v>8</v>
      </c>
      <c r="M1071" s="48">
        <v>128</v>
      </c>
    </row>
    <row r="1072" spans="9:13" ht="12.75">
      <c r="I1072" s="48">
        <v>9</v>
      </c>
      <c r="J1072" s="48">
        <v>2</v>
      </c>
      <c r="K1072" s="48" t="s">
        <v>845</v>
      </c>
      <c r="M1072" s="48">
        <v>79</v>
      </c>
    </row>
    <row r="1073" spans="9:13" ht="12.75">
      <c r="I1073" s="48">
        <v>10</v>
      </c>
      <c r="K1073" s="48">
        <v>6</v>
      </c>
      <c r="M1073" s="48">
        <v>94</v>
      </c>
    </row>
    <row r="1074" spans="9:13" ht="12.75">
      <c r="I1074" s="48">
        <v>11</v>
      </c>
      <c r="J1074" s="48">
        <v>3</v>
      </c>
      <c r="K1074" s="48" t="s">
        <v>845</v>
      </c>
      <c r="M1074" s="48">
        <v>67</v>
      </c>
    </row>
    <row r="1075" spans="9:13" ht="12.75">
      <c r="I1075" s="48">
        <v>12</v>
      </c>
      <c r="K1075" s="48">
        <v>6</v>
      </c>
      <c r="M1075" s="48">
        <v>75</v>
      </c>
    </row>
    <row r="1076" ht="12.75">
      <c r="I1076" s="48">
        <v>13</v>
      </c>
    </row>
    <row r="1077" ht="12.75">
      <c r="I1077" s="48">
        <v>14</v>
      </c>
    </row>
    <row r="1078" ht="12.75">
      <c r="I1078" s="48">
        <v>15</v>
      </c>
    </row>
    <row r="1079" ht="12.75">
      <c r="I1079" s="48">
        <v>16</v>
      </c>
    </row>
    <row r="1080" ht="12.75">
      <c r="I1080" s="48">
        <v>17</v>
      </c>
    </row>
    <row r="1081" ht="12.75">
      <c r="I1081" s="48">
        <v>18</v>
      </c>
    </row>
    <row r="1082" ht="12.75">
      <c r="I1082" s="48">
        <v>19</v>
      </c>
    </row>
    <row r="1083" ht="12.75">
      <c r="I1083" s="48">
        <v>20</v>
      </c>
    </row>
    <row r="1084" spans="9:10" ht="12.75">
      <c r="I1084" s="48">
        <v>1</v>
      </c>
      <c r="J1084" s="48" t="s">
        <v>631</v>
      </c>
    </row>
    <row r="1085" spans="9:13" ht="12.75">
      <c r="I1085" s="48">
        <v>2</v>
      </c>
      <c r="J1085" s="48">
        <v>2</v>
      </c>
      <c r="K1085" s="48">
        <v>4</v>
      </c>
      <c r="M1085" s="48">
        <v>78</v>
      </c>
    </row>
    <row r="1086" spans="9:13" ht="12.75">
      <c r="I1086" s="48">
        <v>3</v>
      </c>
      <c r="K1086" s="48">
        <v>5</v>
      </c>
      <c r="M1086" s="48">
        <v>87</v>
      </c>
    </row>
    <row r="1087" spans="9:13" ht="12.75">
      <c r="I1087" s="48">
        <v>4</v>
      </c>
      <c r="K1087" s="48">
        <v>6</v>
      </c>
      <c r="M1087" s="48">
        <v>95</v>
      </c>
    </row>
    <row r="1088" spans="9:13" ht="12.75">
      <c r="I1088" s="48">
        <v>5</v>
      </c>
      <c r="K1088" s="48">
        <v>7</v>
      </c>
      <c r="M1088" s="48">
        <v>103</v>
      </c>
    </row>
    <row r="1089" spans="9:13" ht="12.75">
      <c r="I1089" s="48">
        <v>6</v>
      </c>
      <c r="K1089" s="48">
        <v>8</v>
      </c>
      <c r="M1089" s="48">
        <v>110</v>
      </c>
    </row>
    <row r="1090" spans="9:13" ht="12.75">
      <c r="I1090" s="48">
        <v>7</v>
      </c>
      <c r="K1090" s="48">
        <v>12</v>
      </c>
      <c r="M1090" s="48">
        <v>131</v>
      </c>
    </row>
    <row r="1091" ht="12.75">
      <c r="I1091" s="48">
        <v>8</v>
      </c>
    </row>
    <row r="1092" ht="12.75">
      <c r="I1092" s="48">
        <v>9</v>
      </c>
    </row>
    <row r="1093" ht="12.75">
      <c r="I1093" s="48">
        <v>10</v>
      </c>
    </row>
    <row r="1094" ht="12.75">
      <c r="I1094" s="48">
        <v>11</v>
      </c>
    </row>
    <row r="1095" ht="12.75">
      <c r="I1095" s="48">
        <v>12</v>
      </c>
    </row>
    <row r="1096" ht="12.75">
      <c r="I1096" s="48">
        <v>13</v>
      </c>
    </row>
    <row r="1097" ht="12.75">
      <c r="I1097" s="48">
        <v>14</v>
      </c>
    </row>
    <row r="1098" ht="12.75">
      <c r="I1098" s="48">
        <v>15</v>
      </c>
    </row>
    <row r="1099" ht="12.75">
      <c r="I1099" s="48">
        <v>16</v>
      </c>
    </row>
    <row r="1100" ht="12.75">
      <c r="I1100" s="48">
        <v>17</v>
      </c>
    </row>
    <row r="1101" ht="12.75">
      <c r="I1101" s="48">
        <v>18</v>
      </c>
    </row>
    <row r="1102" ht="12.75">
      <c r="I1102" s="48">
        <v>19</v>
      </c>
    </row>
    <row r="1103" ht="12.75">
      <c r="I1103" s="48">
        <v>20</v>
      </c>
    </row>
    <row r="1104" spans="9:10" ht="12.75">
      <c r="I1104" s="48">
        <v>1</v>
      </c>
      <c r="J1104" s="48" t="s">
        <v>632</v>
      </c>
    </row>
    <row r="1105" spans="9:13" ht="12.75">
      <c r="I1105" s="48">
        <v>2</v>
      </c>
      <c r="J1105" s="48">
        <v>3</v>
      </c>
      <c r="K1105" s="48">
        <v>4</v>
      </c>
      <c r="M1105" s="48">
        <v>62</v>
      </c>
    </row>
    <row r="1106" spans="9:13" ht="12.75">
      <c r="I1106" s="48">
        <v>3</v>
      </c>
      <c r="K1106" s="48">
        <v>6</v>
      </c>
      <c r="M1106" s="48">
        <v>80</v>
      </c>
    </row>
    <row r="1107" spans="9:13" ht="12.75">
      <c r="I1107" s="48">
        <v>4</v>
      </c>
      <c r="K1107" s="48">
        <v>8</v>
      </c>
      <c r="M1107" s="48">
        <v>92</v>
      </c>
    </row>
    <row r="1108" ht="12.75">
      <c r="I1108" s="48">
        <v>5</v>
      </c>
    </row>
    <row r="1109" ht="12.75">
      <c r="I1109" s="48">
        <v>6</v>
      </c>
    </row>
    <row r="1110" ht="12.75">
      <c r="I1110" s="48">
        <v>7</v>
      </c>
    </row>
    <row r="1111" ht="12.75">
      <c r="I1111" s="48">
        <v>8</v>
      </c>
    </row>
    <row r="1112" ht="12.75">
      <c r="I1112" s="48">
        <v>9</v>
      </c>
    </row>
    <row r="1113" ht="12.75">
      <c r="I1113" s="48">
        <v>10</v>
      </c>
    </row>
    <row r="1114" ht="12.75">
      <c r="I1114" s="48">
        <v>11</v>
      </c>
    </row>
    <row r="1115" ht="12.75">
      <c r="I1115" s="48">
        <v>12</v>
      </c>
    </row>
    <row r="1116" ht="12.75">
      <c r="I1116" s="48">
        <v>13</v>
      </c>
    </row>
    <row r="1117" ht="12.75">
      <c r="I1117" s="48">
        <v>14</v>
      </c>
    </row>
    <row r="1118" ht="12.75">
      <c r="I1118" s="48">
        <v>15</v>
      </c>
    </row>
    <row r="1119" ht="12.75">
      <c r="I1119" s="48">
        <v>16</v>
      </c>
    </row>
    <row r="1120" ht="12.75">
      <c r="I1120" s="48">
        <v>17</v>
      </c>
    </row>
    <row r="1121" ht="12.75">
      <c r="I1121" s="48">
        <v>18</v>
      </c>
    </row>
    <row r="1122" ht="12.75">
      <c r="I1122" s="48">
        <v>19</v>
      </c>
    </row>
    <row r="1123" ht="12.75">
      <c r="I1123" s="48">
        <v>20</v>
      </c>
    </row>
    <row r="1124" spans="9:10" ht="12.75">
      <c r="I1124" s="48">
        <v>1</v>
      </c>
      <c r="J1124" s="48" t="s">
        <v>590</v>
      </c>
    </row>
    <row r="1125" spans="9:13" ht="12.75">
      <c r="I1125" s="48">
        <v>2</v>
      </c>
      <c r="J1125" s="48">
        <v>4</v>
      </c>
      <c r="K1125" s="48">
        <v>4</v>
      </c>
      <c r="M1125" s="48">
        <v>55</v>
      </c>
    </row>
    <row r="1126" spans="9:13" ht="12.75">
      <c r="I1126" s="48">
        <v>3</v>
      </c>
      <c r="K1126" s="48">
        <v>5</v>
      </c>
      <c r="M1126" s="48">
        <v>62</v>
      </c>
    </row>
    <row r="1127" spans="9:13" ht="12.75">
      <c r="I1127" s="48">
        <v>4</v>
      </c>
      <c r="K1127" s="48">
        <v>6</v>
      </c>
      <c r="M1127" s="48">
        <v>69</v>
      </c>
    </row>
    <row r="1128" spans="9:13" ht="12.75">
      <c r="I1128" s="48">
        <v>5</v>
      </c>
      <c r="K1128" s="48">
        <v>7</v>
      </c>
      <c r="M1128" s="48">
        <v>75</v>
      </c>
    </row>
    <row r="1129" spans="9:13" ht="12.75">
      <c r="I1129" s="48">
        <v>6</v>
      </c>
      <c r="K1129" s="48">
        <v>8</v>
      </c>
      <c r="M1129" s="48">
        <v>81</v>
      </c>
    </row>
    <row r="1130" ht="12.75">
      <c r="I1130" s="48">
        <v>7</v>
      </c>
    </row>
    <row r="1131" ht="12.75">
      <c r="I1131" s="48">
        <v>8</v>
      </c>
    </row>
    <row r="1132" ht="12.75">
      <c r="I1132" s="48">
        <v>9</v>
      </c>
    </row>
    <row r="1133" ht="12.75">
      <c r="I1133" s="48">
        <v>10</v>
      </c>
    </row>
    <row r="1134" ht="12.75">
      <c r="I1134" s="48">
        <v>11</v>
      </c>
    </row>
    <row r="1135" ht="12.75">
      <c r="I1135" s="48">
        <v>12</v>
      </c>
    </row>
    <row r="1136" ht="12.75">
      <c r="I1136" s="48">
        <v>13</v>
      </c>
    </row>
    <row r="1137" ht="12.75">
      <c r="I1137" s="48">
        <v>14</v>
      </c>
    </row>
    <row r="1138" ht="12.75">
      <c r="I1138" s="48">
        <v>15</v>
      </c>
    </row>
    <row r="1139" ht="12.75">
      <c r="I1139" s="48">
        <v>16</v>
      </c>
    </row>
    <row r="1140" ht="12.75">
      <c r="I1140" s="48">
        <v>17</v>
      </c>
    </row>
    <row r="1141" ht="12.75">
      <c r="I1141" s="48">
        <v>18</v>
      </c>
    </row>
    <row r="1142" ht="12.75">
      <c r="I1142" s="48">
        <v>19</v>
      </c>
    </row>
    <row r="1143" ht="12.75">
      <c r="I1143" s="48">
        <v>20</v>
      </c>
    </row>
    <row r="1144" spans="9:10" ht="12.75">
      <c r="I1144" s="48">
        <v>1</v>
      </c>
      <c r="J1144" s="48" t="s">
        <v>600</v>
      </c>
    </row>
    <row r="1145" spans="9:13" ht="12.75">
      <c r="I1145" s="48">
        <v>2</v>
      </c>
      <c r="J1145" s="48">
        <v>3</v>
      </c>
      <c r="K1145" s="48" t="s">
        <v>847</v>
      </c>
      <c r="M1145" s="48">
        <v>76</v>
      </c>
    </row>
    <row r="1146" spans="9:13" ht="12.75">
      <c r="I1146" s="48">
        <v>3</v>
      </c>
      <c r="K1146" s="48">
        <v>5</v>
      </c>
      <c r="M1146" s="48">
        <v>80</v>
      </c>
    </row>
    <row r="1147" spans="9:13" ht="12.75">
      <c r="I1147" s="48">
        <v>4</v>
      </c>
      <c r="K1147" s="48">
        <v>6</v>
      </c>
      <c r="M1147" s="48">
        <v>76</v>
      </c>
    </row>
    <row r="1148" spans="9:13" ht="12.75">
      <c r="I1148" s="48">
        <v>5</v>
      </c>
      <c r="J1148" s="48">
        <v>5</v>
      </c>
      <c r="K1148" s="48">
        <v>6</v>
      </c>
      <c r="M1148" s="48">
        <v>60</v>
      </c>
    </row>
    <row r="1149" ht="12.75">
      <c r="I1149" s="48">
        <v>6</v>
      </c>
    </row>
    <row r="1150" ht="12.75">
      <c r="I1150" s="48">
        <v>7</v>
      </c>
    </row>
    <row r="1151" ht="12.75">
      <c r="I1151" s="48">
        <v>8</v>
      </c>
    </row>
    <row r="1152" ht="12.75">
      <c r="I1152" s="48">
        <v>9</v>
      </c>
    </row>
    <row r="1153" ht="12.75">
      <c r="I1153" s="48">
        <v>10</v>
      </c>
    </row>
    <row r="1154" ht="12.75">
      <c r="I1154" s="48">
        <v>11</v>
      </c>
    </row>
    <row r="1155" ht="12.75">
      <c r="I1155" s="48">
        <v>12</v>
      </c>
    </row>
    <row r="1156" ht="12.75">
      <c r="I1156" s="48">
        <v>13</v>
      </c>
    </row>
    <row r="1157" ht="12.75">
      <c r="I1157" s="48">
        <v>14</v>
      </c>
    </row>
    <row r="1158" ht="12.75">
      <c r="I1158" s="48">
        <v>15</v>
      </c>
    </row>
    <row r="1159" ht="12.75">
      <c r="I1159" s="48">
        <v>16</v>
      </c>
    </row>
    <row r="1160" ht="12.75">
      <c r="I1160" s="48">
        <v>17</v>
      </c>
    </row>
    <row r="1161" ht="12.75">
      <c r="I1161" s="48">
        <v>18</v>
      </c>
    </row>
    <row r="1162" ht="12.75">
      <c r="I1162" s="48">
        <v>19</v>
      </c>
    </row>
    <row r="1163" ht="12.75">
      <c r="I1163" s="48">
        <v>20</v>
      </c>
    </row>
    <row r="1164" spans="9:10" ht="12.75">
      <c r="I1164" s="48">
        <v>1</v>
      </c>
      <c r="J1164" s="48" t="s">
        <v>595</v>
      </c>
    </row>
    <row r="1165" spans="9:13" ht="12.75">
      <c r="I1165" s="48">
        <v>2</v>
      </c>
      <c r="J1165" s="48">
        <v>-2</v>
      </c>
      <c r="K1165" s="48">
        <v>6</v>
      </c>
      <c r="M1165" s="48">
        <v>221</v>
      </c>
    </row>
    <row r="1166" spans="9:13" ht="12.75">
      <c r="I1166" s="48">
        <v>3</v>
      </c>
      <c r="J1166" s="48">
        <v>4</v>
      </c>
      <c r="K1166" s="48">
        <v>3</v>
      </c>
      <c r="M1166" s="48">
        <v>52</v>
      </c>
    </row>
    <row r="1167" spans="9:13" ht="12.75">
      <c r="I1167" s="48">
        <v>4</v>
      </c>
      <c r="K1167" s="48">
        <v>4</v>
      </c>
      <c r="M1167" s="48">
        <v>66</v>
      </c>
    </row>
    <row r="1168" spans="9:13" ht="12.75">
      <c r="I1168" s="48">
        <v>5</v>
      </c>
      <c r="K1168" s="48">
        <v>6</v>
      </c>
      <c r="M1168" s="48">
        <v>97</v>
      </c>
    </row>
    <row r="1169" spans="9:13" ht="12.75">
      <c r="I1169" s="48">
        <v>6</v>
      </c>
      <c r="J1169" s="48">
        <v>6</v>
      </c>
      <c r="K1169" s="48">
        <v>4</v>
      </c>
      <c r="M1169" s="48">
        <v>43</v>
      </c>
    </row>
    <row r="1170" spans="9:13" ht="12.75">
      <c r="I1170" s="48">
        <v>7</v>
      </c>
      <c r="K1170" s="48">
        <v>6</v>
      </c>
      <c r="M1170" s="48">
        <v>56</v>
      </c>
    </row>
    <row r="1171" ht="12.75">
      <c r="I1171" s="48">
        <v>8</v>
      </c>
    </row>
    <row r="1172" ht="12.75">
      <c r="I1172" s="48">
        <v>9</v>
      </c>
    </row>
    <row r="1173" ht="12.75">
      <c r="I1173" s="48">
        <v>10</v>
      </c>
    </row>
    <row r="1174" ht="12.75">
      <c r="I1174" s="48">
        <v>11</v>
      </c>
    </row>
    <row r="1175" ht="12.75">
      <c r="I1175" s="48">
        <v>12</v>
      </c>
    </row>
    <row r="1176" ht="12.75">
      <c r="I1176" s="48">
        <v>13</v>
      </c>
    </row>
    <row r="1177" ht="12.75">
      <c r="I1177" s="48">
        <v>14</v>
      </c>
    </row>
    <row r="1178" ht="12.75">
      <c r="I1178" s="48">
        <v>15</v>
      </c>
    </row>
    <row r="1179" ht="12.75">
      <c r="I1179" s="48">
        <v>16</v>
      </c>
    </row>
    <row r="1180" ht="12.75">
      <c r="I1180" s="48">
        <v>17</v>
      </c>
    </row>
    <row r="1181" ht="12.75">
      <c r="I1181" s="48">
        <v>18</v>
      </c>
    </row>
    <row r="1182" ht="12.75">
      <c r="I1182" s="48">
        <v>19</v>
      </c>
    </row>
    <row r="1183" ht="12.75">
      <c r="I1183" s="48">
        <v>20</v>
      </c>
    </row>
    <row r="1184" spans="9:10" ht="12.75">
      <c r="I1184" s="48">
        <v>1</v>
      </c>
      <c r="J1184" s="48" t="s">
        <v>584</v>
      </c>
    </row>
    <row r="1185" spans="9:13" ht="12.75">
      <c r="I1185" s="48">
        <v>2</v>
      </c>
      <c r="J1185" s="48">
        <v>-1</v>
      </c>
      <c r="K1185" s="48">
        <v>6</v>
      </c>
      <c r="M1185" s="48">
        <v>220</v>
      </c>
    </row>
    <row r="1186" spans="9:13" ht="12.75">
      <c r="I1186" s="48">
        <v>3</v>
      </c>
      <c r="J1186" s="48">
        <v>5</v>
      </c>
      <c r="K1186" s="48" t="s">
        <v>846</v>
      </c>
      <c r="M1186" s="48">
        <v>44</v>
      </c>
    </row>
    <row r="1187" spans="9:13" ht="12.75">
      <c r="I1187" s="48">
        <v>4</v>
      </c>
      <c r="K1187" s="48">
        <v>6</v>
      </c>
      <c r="M1187" s="48">
        <v>95</v>
      </c>
    </row>
    <row r="1188" spans="9:13" ht="12.75">
      <c r="I1188" s="48">
        <v>5</v>
      </c>
      <c r="J1188" s="48">
        <v>7</v>
      </c>
      <c r="K1188" s="48">
        <v>4</v>
      </c>
      <c r="M1188" s="48">
        <v>42</v>
      </c>
    </row>
    <row r="1189" spans="9:13" ht="12.75">
      <c r="I1189" s="48">
        <v>6</v>
      </c>
      <c r="K1189" s="48">
        <v>6</v>
      </c>
      <c r="M1189" s="48">
        <v>53</v>
      </c>
    </row>
    <row r="1190" ht="12.75">
      <c r="I1190" s="48">
        <v>7</v>
      </c>
    </row>
    <row r="1191" ht="12.75">
      <c r="I1191" s="48">
        <v>8</v>
      </c>
    </row>
    <row r="1192" ht="12.75">
      <c r="I1192" s="48">
        <v>9</v>
      </c>
    </row>
    <row r="1193" ht="12.75">
      <c r="I1193" s="48">
        <v>10</v>
      </c>
    </row>
    <row r="1194" ht="12.75">
      <c r="I1194" s="48">
        <v>11</v>
      </c>
    </row>
    <row r="1195" ht="12.75">
      <c r="I1195" s="48">
        <v>12</v>
      </c>
    </row>
    <row r="1196" ht="12.75">
      <c r="I1196" s="48">
        <v>13</v>
      </c>
    </row>
    <row r="1197" ht="12.75">
      <c r="I1197" s="48">
        <v>14</v>
      </c>
    </row>
    <row r="1198" ht="12.75">
      <c r="I1198" s="48">
        <v>15</v>
      </c>
    </row>
    <row r="1199" ht="12.75">
      <c r="I1199" s="48">
        <v>16</v>
      </c>
    </row>
    <row r="1200" ht="12.75">
      <c r="I1200" s="48">
        <v>17</v>
      </c>
    </row>
    <row r="1201" ht="12.75">
      <c r="I1201" s="48">
        <v>18</v>
      </c>
    </row>
    <row r="1202" ht="12.75">
      <c r="I1202" s="48">
        <v>19</v>
      </c>
    </row>
    <row r="1203" ht="12.75">
      <c r="I1203" s="48">
        <v>20</v>
      </c>
    </row>
    <row r="1204" spans="9:10" ht="12.75">
      <c r="I1204" s="48">
        <v>1</v>
      </c>
      <c r="J1204" s="48" t="s">
        <v>675</v>
      </c>
    </row>
    <row r="1205" spans="9:13" ht="12.75">
      <c r="I1205" s="48">
        <v>2</v>
      </c>
      <c r="J1205" s="48">
        <v>8</v>
      </c>
      <c r="K1205" s="48">
        <v>4</v>
      </c>
      <c r="M1205" s="48">
        <v>40</v>
      </c>
    </row>
    <row r="1206" spans="9:13" ht="12.75">
      <c r="I1206" s="48">
        <v>3</v>
      </c>
      <c r="K1206" s="48">
        <v>6</v>
      </c>
      <c r="M1206" s="48">
        <v>48</v>
      </c>
    </row>
    <row r="1207" ht="12.75">
      <c r="I1207" s="48">
        <v>4</v>
      </c>
    </row>
    <row r="1208" ht="12.75">
      <c r="I1208" s="48">
        <v>5</v>
      </c>
    </row>
    <row r="1209" ht="12.75">
      <c r="I1209" s="48">
        <v>6</v>
      </c>
    </row>
    <row r="1210" ht="12.75">
      <c r="I1210" s="48">
        <v>7</v>
      </c>
    </row>
    <row r="1211" ht="12.75">
      <c r="I1211" s="48">
        <v>8</v>
      </c>
    </row>
    <row r="1212" ht="12.75">
      <c r="I1212" s="48">
        <v>9</v>
      </c>
    </row>
    <row r="1213" ht="12.75">
      <c r="I1213" s="48">
        <v>10</v>
      </c>
    </row>
    <row r="1214" ht="12.75">
      <c r="I1214" s="48">
        <v>11</v>
      </c>
    </row>
    <row r="1215" ht="12.75">
      <c r="I1215" s="48">
        <v>12</v>
      </c>
    </row>
    <row r="1216" ht="12.75">
      <c r="I1216" s="48">
        <v>13</v>
      </c>
    </row>
    <row r="1217" ht="12.75">
      <c r="I1217" s="48">
        <v>14</v>
      </c>
    </row>
    <row r="1218" ht="12.75">
      <c r="I1218" s="48">
        <v>15</v>
      </c>
    </row>
    <row r="1219" ht="12.75">
      <c r="I1219" s="48">
        <v>16</v>
      </c>
    </row>
    <row r="1220" ht="12.75">
      <c r="I1220" s="48">
        <v>17</v>
      </c>
    </row>
    <row r="1221" ht="12.75">
      <c r="I1221" s="48">
        <v>18</v>
      </c>
    </row>
    <row r="1222" ht="12.75">
      <c r="I1222" s="48">
        <v>19</v>
      </c>
    </row>
    <row r="1223" ht="12.75">
      <c r="I1223" s="48">
        <v>20</v>
      </c>
    </row>
    <row r="1224" spans="9:10" ht="12.75">
      <c r="I1224" s="48">
        <v>1</v>
      </c>
      <c r="J1224" s="48" t="s">
        <v>577</v>
      </c>
    </row>
    <row r="1225" spans="9:13" ht="12.75">
      <c r="I1225" s="48">
        <v>2</v>
      </c>
      <c r="J1225" s="48">
        <v>-1</v>
      </c>
      <c r="K1225" s="48">
        <v>6</v>
      </c>
      <c r="M1225" s="48">
        <v>362</v>
      </c>
    </row>
    <row r="1226" spans="9:13" ht="12.75">
      <c r="I1226" s="48">
        <v>3</v>
      </c>
      <c r="J1226" s="48">
        <v>1</v>
      </c>
      <c r="K1226" s="48">
        <v>6</v>
      </c>
      <c r="M1226" s="48">
        <v>167</v>
      </c>
    </row>
    <row r="1227" spans="9:13" ht="12.75">
      <c r="I1227" s="48">
        <v>4</v>
      </c>
      <c r="K1227" s="48">
        <v>8</v>
      </c>
      <c r="M1227" s="48">
        <v>174</v>
      </c>
    </row>
    <row r="1228" spans="9:13" ht="12.75">
      <c r="I1228" s="48">
        <v>5</v>
      </c>
      <c r="K1228" s="48">
        <v>9</v>
      </c>
      <c r="M1228" s="48">
        <v>178</v>
      </c>
    </row>
    <row r="1229" spans="9:13" ht="12.75">
      <c r="I1229" s="48">
        <v>6</v>
      </c>
      <c r="K1229" s="48">
        <v>10</v>
      </c>
      <c r="M1229" s="48">
        <v>181</v>
      </c>
    </row>
    <row r="1230" spans="9:13" ht="12.75">
      <c r="I1230" s="48">
        <v>7</v>
      </c>
      <c r="K1230" s="48">
        <v>11</v>
      </c>
      <c r="M1230" s="48">
        <v>185</v>
      </c>
    </row>
    <row r="1231" spans="9:13" ht="12.75">
      <c r="I1231" s="48">
        <v>8</v>
      </c>
      <c r="K1231" s="48">
        <v>12</v>
      </c>
      <c r="M1231" s="48">
        <v>188</v>
      </c>
    </row>
    <row r="1232" ht="12.75">
      <c r="I1232" s="48">
        <v>9</v>
      </c>
    </row>
    <row r="1233" ht="12.75">
      <c r="I1233" s="48">
        <v>10</v>
      </c>
    </row>
    <row r="1234" ht="12.75">
      <c r="I1234" s="48">
        <v>11</v>
      </c>
    </row>
    <row r="1235" ht="12.75">
      <c r="I1235" s="48">
        <v>12</v>
      </c>
    </row>
    <row r="1236" ht="12.75">
      <c r="I1236" s="48">
        <v>13</v>
      </c>
    </row>
    <row r="1237" ht="12.75">
      <c r="I1237" s="48">
        <v>14</v>
      </c>
    </row>
    <row r="1238" ht="12.75">
      <c r="I1238" s="48">
        <v>15</v>
      </c>
    </row>
    <row r="1239" ht="12.75">
      <c r="I1239" s="48">
        <v>16</v>
      </c>
    </row>
    <row r="1240" ht="12.75">
      <c r="I1240" s="48">
        <v>17</v>
      </c>
    </row>
    <row r="1241" ht="12.75">
      <c r="I1241" s="48">
        <v>18</v>
      </c>
    </row>
    <row r="1242" ht="12.75">
      <c r="I1242" s="48">
        <v>19</v>
      </c>
    </row>
    <row r="1243" ht="12.75">
      <c r="I1243" s="48">
        <v>20</v>
      </c>
    </row>
    <row r="1244" spans="9:10" ht="12.75">
      <c r="I1244" s="48">
        <v>1</v>
      </c>
      <c r="J1244" s="48" t="s">
        <v>627</v>
      </c>
    </row>
    <row r="1245" spans="9:13" ht="12.75">
      <c r="I1245" s="48">
        <v>2</v>
      </c>
      <c r="J1245" s="48">
        <v>2</v>
      </c>
      <c r="K1245" s="48">
        <v>6</v>
      </c>
      <c r="M1245" s="48">
        <v>135</v>
      </c>
    </row>
    <row r="1246" spans="9:13" ht="12.75">
      <c r="I1246" s="48">
        <v>3</v>
      </c>
      <c r="K1246" s="48">
        <v>7</v>
      </c>
      <c r="M1246" s="48">
        <v>138</v>
      </c>
    </row>
    <row r="1247" spans="9:13" ht="12.75">
      <c r="I1247" s="48">
        <v>4</v>
      </c>
      <c r="K1247" s="48">
        <v>8</v>
      </c>
      <c r="M1247" s="48">
        <v>142</v>
      </c>
    </row>
    <row r="1248" spans="9:13" ht="12.75">
      <c r="I1248" s="48">
        <v>5</v>
      </c>
      <c r="K1248" s="48">
        <v>9</v>
      </c>
      <c r="M1248" s="48">
        <v>147</v>
      </c>
    </row>
    <row r="1249" spans="9:13" ht="12.75">
      <c r="I1249" s="48">
        <v>6</v>
      </c>
      <c r="K1249" s="48">
        <v>10</v>
      </c>
      <c r="M1249" s="48">
        <v>152</v>
      </c>
    </row>
    <row r="1250" spans="9:13" ht="12.75">
      <c r="I1250" s="48">
        <v>7</v>
      </c>
      <c r="K1250" s="48">
        <v>11</v>
      </c>
      <c r="M1250" s="48">
        <v>157</v>
      </c>
    </row>
    <row r="1251" spans="9:13" ht="12.75">
      <c r="I1251" s="48">
        <v>8</v>
      </c>
      <c r="K1251" s="48">
        <v>12</v>
      </c>
      <c r="M1251" s="48">
        <v>161</v>
      </c>
    </row>
    <row r="1252" ht="12.75">
      <c r="I1252" s="48">
        <v>9</v>
      </c>
    </row>
    <row r="1253" ht="12.75">
      <c r="I1253" s="48">
        <v>10</v>
      </c>
    </row>
    <row r="1254" ht="12.75">
      <c r="I1254" s="48">
        <v>11</v>
      </c>
    </row>
    <row r="1255" ht="12.75">
      <c r="I1255" s="48">
        <v>12</v>
      </c>
    </row>
    <row r="1256" ht="12.75">
      <c r="I1256" s="48">
        <v>13</v>
      </c>
    </row>
    <row r="1257" ht="12.75">
      <c r="I1257" s="48">
        <v>14</v>
      </c>
    </row>
    <row r="1258" ht="12.75">
      <c r="I1258" s="48">
        <v>15</v>
      </c>
    </row>
    <row r="1259" ht="12.75">
      <c r="I1259" s="48">
        <v>16</v>
      </c>
    </row>
    <row r="1260" ht="12.75">
      <c r="I1260" s="48">
        <v>17</v>
      </c>
    </row>
    <row r="1261" ht="12.75">
      <c r="I1261" s="48">
        <v>18</v>
      </c>
    </row>
    <row r="1262" ht="12.75">
      <c r="I1262" s="48">
        <v>19</v>
      </c>
    </row>
    <row r="1263" ht="12.75">
      <c r="I1263" s="48">
        <v>20</v>
      </c>
    </row>
    <row r="1264" spans="9:10" ht="12.75">
      <c r="I1264" s="48">
        <v>1</v>
      </c>
      <c r="J1264" s="48" t="s">
        <v>676</v>
      </c>
    </row>
    <row r="1265" spans="9:13" ht="12.75">
      <c r="I1265" s="48">
        <v>2</v>
      </c>
      <c r="J1265" s="48">
        <v>3</v>
      </c>
      <c r="K1265" s="48">
        <v>6</v>
      </c>
      <c r="M1265" s="48">
        <v>103.2</v>
      </c>
    </row>
    <row r="1266" spans="9:13" ht="12.75">
      <c r="I1266" s="48">
        <v>3</v>
      </c>
      <c r="K1266" s="48">
        <v>7</v>
      </c>
      <c r="M1266" s="48">
        <v>110</v>
      </c>
    </row>
    <row r="1267" spans="9:13" ht="12.75">
      <c r="I1267" s="48">
        <v>4</v>
      </c>
      <c r="K1267" s="48">
        <v>8</v>
      </c>
      <c r="M1267" s="48">
        <v>116</v>
      </c>
    </row>
    <row r="1268" spans="9:13" ht="12.75">
      <c r="I1268" s="48">
        <v>5</v>
      </c>
      <c r="K1268" s="48">
        <v>9</v>
      </c>
      <c r="M1268" s="48">
        <v>121.6</v>
      </c>
    </row>
    <row r="1269" spans="9:13" ht="12.75">
      <c r="I1269" s="48">
        <v>6</v>
      </c>
      <c r="K1269" s="48">
        <v>10</v>
      </c>
      <c r="M1269" s="48">
        <v>127</v>
      </c>
    </row>
    <row r="1270" spans="9:13" ht="12.75">
      <c r="I1270" s="48">
        <v>7</v>
      </c>
      <c r="K1270" s="48">
        <v>12</v>
      </c>
      <c r="M1270" s="48">
        <v>136</v>
      </c>
    </row>
    <row r="1271" ht="12.75">
      <c r="I1271" s="48">
        <v>8</v>
      </c>
    </row>
    <row r="1272" ht="12.75">
      <c r="I1272" s="48">
        <v>9</v>
      </c>
    </row>
    <row r="1273" ht="12.75">
      <c r="I1273" s="48">
        <v>10</v>
      </c>
    </row>
    <row r="1274" ht="12.75">
      <c r="I1274" s="48">
        <v>11</v>
      </c>
    </row>
    <row r="1275" ht="12.75">
      <c r="I1275" s="48">
        <v>12</v>
      </c>
    </row>
    <row r="1276" ht="12.75">
      <c r="I1276" s="48">
        <v>13</v>
      </c>
    </row>
    <row r="1277" ht="12.75">
      <c r="I1277" s="48">
        <v>14</v>
      </c>
    </row>
    <row r="1278" ht="12.75">
      <c r="I1278" s="48">
        <v>15</v>
      </c>
    </row>
    <row r="1279" ht="12.75">
      <c r="I1279" s="48">
        <v>16</v>
      </c>
    </row>
    <row r="1280" ht="12.75">
      <c r="I1280" s="48">
        <v>17</v>
      </c>
    </row>
    <row r="1281" ht="12.75">
      <c r="I1281" s="48">
        <v>18</v>
      </c>
    </row>
    <row r="1282" ht="12.75">
      <c r="I1282" s="48">
        <v>19</v>
      </c>
    </row>
    <row r="1283" ht="12.75">
      <c r="I1283" s="48">
        <v>20</v>
      </c>
    </row>
    <row r="1284" spans="9:10" ht="12.75">
      <c r="I1284" s="48">
        <v>1</v>
      </c>
      <c r="J1284" s="48" t="s">
        <v>634</v>
      </c>
    </row>
    <row r="1285" spans="9:13" ht="12.75">
      <c r="I1285" s="48">
        <v>2</v>
      </c>
      <c r="J1285" s="48">
        <v>3</v>
      </c>
      <c r="K1285" s="48">
        <v>6</v>
      </c>
      <c r="M1285" s="48">
        <v>101</v>
      </c>
    </row>
    <row r="1286" spans="9:13" ht="12.75">
      <c r="I1286" s="48">
        <v>3</v>
      </c>
      <c r="K1286" s="48">
        <v>7</v>
      </c>
      <c r="M1286" s="48">
        <v>107</v>
      </c>
    </row>
    <row r="1287" spans="9:13" ht="12.75">
      <c r="I1287" s="48">
        <v>4</v>
      </c>
      <c r="K1287" s="48">
        <v>8</v>
      </c>
      <c r="M1287" s="48">
        <v>114.3</v>
      </c>
    </row>
    <row r="1288" spans="9:13" ht="12.75">
      <c r="I1288" s="48">
        <v>5</v>
      </c>
      <c r="K1288" s="48">
        <v>9</v>
      </c>
      <c r="M1288" s="48">
        <v>119.6</v>
      </c>
    </row>
    <row r="1289" spans="9:13" ht="12.75">
      <c r="I1289" s="48">
        <v>6</v>
      </c>
      <c r="K1289" s="48">
        <v>10</v>
      </c>
      <c r="M1289" s="48">
        <v>125</v>
      </c>
    </row>
    <row r="1290" spans="9:13" ht="12.75">
      <c r="I1290" s="48">
        <v>7</v>
      </c>
      <c r="K1290" s="48">
        <v>12</v>
      </c>
      <c r="M1290" s="48">
        <v>134</v>
      </c>
    </row>
    <row r="1291" spans="9:13" ht="12.75">
      <c r="I1291" s="48">
        <v>8</v>
      </c>
      <c r="J1291" s="48">
        <v>4</v>
      </c>
      <c r="K1291" s="48">
        <v>6</v>
      </c>
      <c r="M1291" s="48">
        <v>87</v>
      </c>
    </row>
    <row r="1292" spans="9:13" ht="12.75">
      <c r="I1292" s="48">
        <v>9</v>
      </c>
      <c r="K1292" s="48">
        <v>8</v>
      </c>
      <c r="M1292" s="48">
        <v>97</v>
      </c>
    </row>
    <row r="1293" spans="9:13" ht="12.75">
      <c r="I1293" s="48">
        <v>10</v>
      </c>
      <c r="K1293" s="48">
        <v>10</v>
      </c>
      <c r="M1293" s="48">
        <v>107</v>
      </c>
    </row>
    <row r="1294" spans="9:13" ht="12.75">
      <c r="I1294" s="48">
        <v>11</v>
      </c>
      <c r="K1294" s="48">
        <v>12</v>
      </c>
      <c r="M1294" s="48">
        <v>114</v>
      </c>
    </row>
    <row r="1295" ht="12.75">
      <c r="I1295" s="48">
        <v>12</v>
      </c>
    </row>
    <row r="1296" ht="12.75">
      <c r="I1296" s="48">
        <v>13</v>
      </c>
    </row>
    <row r="1297" ht="12.75">
      <c r="I1297" s="48">
        <v>14</v>
      </c>
    </row>
    <row r="1298" ht="12.75">
      <c r="I1298" s="48">
        <v>15</v>
      </c>
    </row>
    <row r="1299" ht="12.75">
      <c r="I1299" s="48">
        <v>16</v>
      </c>
    </row>
    <row r="1300" ht="12.75">
      <c r="I1300" s="48">
        <v>17</v>
      </c>
    </row>
    <row r="1301" ht="12.75">
      <c r="I1301" s="48">
        <v>18</v>
      </c>
    </row>
    <row r="1302" ht="12.75">
      <c r="I1302" s="48">
        <v>19</v>
      </c>
    </row>
    <row r="1303" ht="12.75">
      <c r="I1303" s="48">
        <v>20</v>
      </c>
    </row>
    <row r="1304" spans="9:10" ht="12.75">
      <c r="I1304" s="48">
        <v>1</v>
      </c>
      <c r="J1304" s="48" t="s">
        <v>677</v>
      </c>
    </row>
    <row r="1305" spans="9:13" ht="12.75">
      <c r="I1305" s="48">
        <v>2</v>
      </c>
      <c r="J1305" s="48">
        <v>3</v>
      </c>
      <c r="K1305" s="48">
        <v>6</v>
      </c>
      <c r="M1305" s="48">
        <v>99</v>
      </c>
    </row>
    <row r="1306" spans="9:13" ht="12.75">
      <c r="I1306" s="48">
        <v>3</v>
      </c>
      <c r="K1306" s="48">
        <v>8</v>
      </c>
      <c r="M1306" s="48">
        <v>112.6</v>
      </c>
    </row>
    <row r="1307" spans="9:13" ht="12.75">
      <c r="I1307" s="48">
        <v>4</v>
      </c>
      <c r="K1307" s="48">
        <v>9</v>
      </c>
      <c r="M1307" s="48">
        <v>117.9</v>
      </c>
    </row>
    <row r="1308" spans="9:13" ht="12.75">
      <c r="I1308" s="48">
        <v>5</v>
      </c>
      <c r="J1308" s="48">
        <v>4</v>
      </c>
      <c r="K1308" s="48">
        <v>6</v>
      </c>
      <c r="M1308" s="48">
        <v>85</v>
      </c>
    </row>
    <row r="1309" spans="9:13" ht="12.75">
      <c r="I1309" s="48">
        <v>6</v>
      </c>
      <c r="K1309" s="48">
        <v>8</v>
      </c>
      <c r="M1309" s="48">
        <v>96</v>
      </c>
    </row>
    <row r="1310" ht="12.75">
      <c r="I1310" s="48">
        <v>7</v>
      </c>
    </row>
    <row r="1311" ht="12.75">
      <c r="I1311" s="48">
        <v>8</v>
      </c>
    </row>
    <row r="1312" ht="12.75">
      <c r="I1312" s="48">
        <v>9</v>
      </c>
    </row>
    <row r="1313" ht="12.75">
      <c r="I1313" s="48">
        <v>10</v>
      </c>
    </row>
    <row r="1314" ht="12.75">
      <c r="I1314" s="48">
        <v>11</v>
      </c>
    </row>
    <row r="1315" ht="12.75">
      <c r="I1315" s="48">
        <v>12</v>
      </c>
    </row>
    <row r="1316" ht="12.75">
      <c r="I1316" s="48">
        <v>13</v>
      </c>
    </row>
    <row r="1317" ht="12.75">
      <c r="I1317" s="48">
        <v>14</v>
      </c>
    </row>
    <row r="1318" ht="12.75">
      <c r="I1318" s="48">
        <v>15</v>
      </c>
    </row>
    <row r="1319" ht="12.75">
      <c r="I1319" s="48">
        <v>16</v>
      </c>
    </row>
    <row r="1320" ht="12.75">
      <c r="I1320" s="48">
        <v>17</v>
      </c>
    </row>
    <row r="1321" ht="12.75">
      <c r="I1321" s="48">
        <v>18</v>
      </c>
    </row>
    <row r="1322" ht="12.75">
      <c r="I1322" s="48">
        <v>19</v>
      </c>
    </row>
    <row r="1323" ht="12.75">
      <c r="I1323" s="48">
        <v>20</v>
      </c>
    </row>
    <row r="1324" spans="9:10" ht="12.75">
      <c r="I1324" s="48">
        <v>1</v>
      </c>
      <c r="J1324" s="48" t="s">
        <v>678</v>
      </c>
    </row>
    <row r="1325" spans="9:13" ht="12.75">
      <c r="I1325" s="48">
        <v>2</v>
      </c>
      <c r="J1325" s="48">
        <v>2</v>
      </c>
      <c r="K1325" s="48">
        <v>8</v>
      </c>
      <c r="M1325" s="48">
        <v>129</v>
      </c>
    </row>
    <row r="1326" spans="9:13" ht="12.75">
      <c r="I1326" s="48">
        <v>3</v>
      </c>
      <c r="K1326" s="48">
        <v>9</v>
      </c>
      <c r="M1326" s="48">
        <v>135</v>
      </c>
    </row>
    <row r="1327" spans="9:13" ht="12.75">
      <c r="I1327" s="48">
        <v>4</v>
      </c>
      <c r="J1327" s="48">
        <v>3</v>
      </c>
      <c r="K1327" s="48">
        <v>6</v>
      </c>
      <c r="M1327" s="48">
        <v>98.3</v>
      </c>
    </row>
    <row r="1328" spans="9:13" ht="12.75">
      <c r="I1328" s="48">
        <v>5</v>
      </c>
      <c r="K1328" s="48">
        <v>8</v>
      </c>
      <c r="M1328" s="48">
        <v>110.9</v>
      </c>
    </row>
    <row r="1329" spans="9:13" ht="12.75">
      <c r="I1329" s="48">
        <v>6</v>
      </c>
      <c r="K1329" s="48">
        <v>9</v>
      </c>
      <c r="M1329" s="48">
        <v>116.3</v>
      </c>
    </row>
    <row r="1330" spans="9:13" ht="12.75">
      <c r="I1330" s="48">
        <v>7</v>
      </c>
      <c r="K1330" s="48">
        <v>12</v>
      </c>
      <c r="M1330" s="48">
        <v>127</v>
      </c>
    </row>
    <row r="1331" ht="12.75">
      <c r="I1331" s="48">
        <v>8</v>
      </c>
    </row>
    <row r="1332" ht="12.75">
      <c r="I1332" s="48">
        <v>9</v>
      </c>
    </row>
    <row r="1333" ht="12.75">
      <c r="I1333" s="48">
        <v>10</v>
      </c>
    </row>
    <row r="1334" ht="12.75">
      <c r="I1334" s="48">
        <v>11</v>
      </c>
    </row>
    <row r="1335" ht="12.75">
      <c r="I1335" s="48">
        <v>12</v>
      </c>
    </row>
    <row r="1336" ht="12.75">
      <c r="I1336" s="48">
        <v>13</v>
      </c>
    </row>
    <row r="1337" ht="12.75">
      <c r="I1337" s="48">
        <v>14</v>
      </c>
    </row>
    <row r="1338" ht="12.75">
      <c r="I1338" s="48">
        <v>15</v>
      </c>
    </row>
    <row r="1339" ht="12.75">
      <c r="I1339" s="48">
        <v>16</v>
      </c>
    </row>
    <row r="1340" ht="12.75">
      <c r="I1340" s="48">
        <v>17</v>
      </c>
    </row>
    <row r="1341" ht="12.75">
      <c r="I1341" s="48">
        <v>18</v>
      </c>
    </row>
    <row r="1342" ht="12.75">
      <c r="I1342" s="48">
        <v>19</v>
      </c>
    </row>
    <row r="1343" ht="12.75">
      <c r="I1343" s="48">
        <v>20</v>
      </c>
    </row>
    <row r="1344" spans="9:10" ht="12.75">
      <c r="I1344" s="48">
        <v>1</v>
      </c>
      <c r="J1344" s="48" t="s">
        <v>679</v>
      </c>
    </row>
    <row r="1345" spans="9:13" ht="12.75">
      <c r="I1345" s="48">
        <v>2</v>
      </c>
      <c r="J1345" s="48">
        <v>3</v>
      </c>
      <c r="K1345" s="48">
        <v>6</v>
      </c>
      <c r="M1345" s="48">
        <v>97</v>
      </c>
    </row>
    <row r="1346" spans="9:13" ht="12.75">
      <c r="I1346" s="48">
        <v>3</v>
      </c>
      <c r="K1346" s="48">
        <v>8</v>
      </c>
      <c r="M1346" s="48">
        <v>109.3</v>
      </c>
    </row>
    <row r="1347" spans="9:13" ht="12.75">
      <c r="I1347" s="48">
        <v>4</v>
      </c>
      <c r="K1347" s="48">
        <v>9</v>
      </c>
      <c r="M1347" s="48">
        <v>114.4</v>
      </c>
    </row>
    <row r="1348" ht="12.75">
      <c r="I1348" s="48">
        <v>5</v>
      </c>
    </row>
    <row r="1349" ht="12.75">
      <c r="I1349" s="48">
        <v>6</v>
      </c>
    </row>
    <row r="1350" ht="12.75">
      <c r="I1350" s="48">
        <v>7</v>
      </c>
    </row>
    <row r="1351" ht="12.75">
      <c r="I1351" s="48">
        <v>8</v>
      </c>
    </row>
    <row r="1352" ht="12.75">
      <c r="I1352" s="48">
        <v>9</v>
      </c>
    </row>
    <row r="1353" ht="12.75">
      <c r="I1353" s="48">
        <v>10</v>
      </c>
    </row>
    <row r="1354" ht="12.75">
      <c r="I1354" s="48">
        <v>11</v>
      </c>
    </row>
    <row r="1355" ht="12.75">
      <c r="I1355" s="48">
        <v>12</v>
      </c>
    </row>
    <row r="1356" ht="12.75">
      <c r="I1356" s="48">
        <v>13</v>
      </c>
    </row>
    <row r="1357" ht="12.75">
      <c r="I1357" s="48">
        <v>14</v>
      </c>
    </row>
    <row r="1358" ht="12.75">
      <c r="I1358" s="48">
        <v>15</v>
      </c>
    </row>
    <row r="1359" ht="12.75">
      <c r="I1359" s="48">
        <v>16</v>
      </c>
    </row>
    <row r="1360" ht="12.75">
      <c r="I1360" s="48">
        <v>17</v>
      </c>
    </row>
    <row r="1361" ht="12.75">
      <c r="I1361" s="48">
        <v>18</v>
      </c>
    </row>
    <row r="1362" ht="12.75">
      <c r="I1362" s="48">
        <v>19</v>
      </c>
    </row>
    <row r="1363" ht="12.75">
      <c r="I1363" s="48">
        <v>20</v>
      </c>
    </row>
    <row r="1364" spans="9:10" ht="12.75">
      <c r="I1364" s="48">
        <v>1</v>
      </c>
      <c r="J1364" s="48" t="s">
        <v>635</v>
      </c>
    </row>
    <row r="1365" spans="9:13" ht="12.75">
      <c r="I1365" s="48">
        <v>2</v>
      </c>
      <c r="J1365" s="48">
        <v>2</v>
      </c>
      <c r="K1365" s="48">
        <v>7</v>
      </c>
      <c r="M1365" s="48">
        <v>122</v>
      </c>
    </row>
    <row r="1366" spans="9:13" ht="12.75">
      <c r="I1366" s="48">
        <v>3</v>
      </c>
      <c r="K1366" s="48">
        <v>8</v>
      </c>
      <c r="M1366" s="48">
        <v>127</v>
      </c>
    </row>
    <row r="1367" spans="9:13" ht="12.75">
      <c r="I1367" s="48">
        <v>4</v>
      </c>
      <c r="K1367" s="48">
        <v>9</v>
      </c>
      <c r="M1367" s="48">
        <v>132</v>
      </c>
    </row>
    <row r="1368" spans="9:13" ht="12.75">
      <c r="I1368" s="48">
        <v>5</v>
      </c>
      <c r="J1368" s="48">
        <v>3</v>
      </c>
      <c r="K1368" s="48">
        <v>6</v>
      </c>
      <c r="M1368" s="48">
        <v>95.8</v>
      </c>
    </row>
    <row r="1369" spans="9:13" ht="12.75">
      <c r="I1369" s="48">
        <v>6</v>
      </c>
      <c r="K1369" s="48">
        <v>7</v>
      </c>
      <c r="M1369" s="48">
        <v>102</v>
      </c>
    </row>
    <row r="1370" spans="9:13" ht="12.75">
      <c r="I1370" s="48">
        <v>7</v>
      </c>
      <c r="K1370" s="48">
        <v>8</v>
      </c>
      <c r="M1370" s="48">
        <v>107.9</v>
      </c>
    </row>
    <row r="1371" spans="9:13" ht="12.75">
      <c r="I1371" s="48">
        <v>8</v>
      </c>
      <c r="K1371" s="48">
        <v>9</v>
      </c>
      <c r="M1371" s="48">
        <v>113.2</v>
      </c>
    </row>
    <row r="1372" spans="9:13" ht="12.75">
      <c r="I1372" s="48">
        <v>9</v>
      </c>
      <c r="K1372" s="48">
        <v>12</v>
      </c>
      <c r="M1372" s="48">
        <v>124</v>
      </c>
    </row>
    <row r="1373" ht="12.75">
      <c r="I1373" s="48">
        <v>10</v>
      </c>
    </row>
    <row r="1374" ht="12.75">
      <c r="I1374" s="48">
        <v>11</v>
      </c>
    </row>
    <row r="1375" ht="12.75">
      <c r="I1375" s="48">
        <v>12</v>
      </c>
    </row>
    <row r="1376" ht="12.75">
      <c r="I1376" s="48">
        <v>13</v>
      </c>
    </row>
    <row r="1377" ht="12.75">
      <c r="I1377" s="48">
        <v>14</v>
      </c>
    </row>
    <row r="1378" ht="12.75">
      <c r="I1378" s="48">
        <v>15</v>
      </c>
    </row>
    <row r="1379" ht="12.75">
      <c r="I1379" s="48">
        <v>16</v>
      </c>
    </row>
    <row r="1380" ht="12.75">
      <c r="I1380" s="48">
        <v>17</v>
      </c>
    </row>
    <row r="1381" ht="12.75">
      <c r="I1381" s="48">
        <v>18</v>
      </c>
    </row>
    <row r="1382" ht="12.75">
      <c r="I1382" s="48">
        <v>19</v>
      </c>
    </row>
    <row r="1383" ht="12.75">
      <c r="I1383" s="48">
        <v>20</v>
      </c>
    </row>
    <row r="1384" spans="9:10" ht="12.75">
      <c r="I1384" s="48">
        <v>1</v>
      </c>
      <c r="J1384" s="48" t="s">
        <v>619</v>
      </c>
    </row>
    <row r="1385" spans="9:13" ht="12.75">
      <c r="I1385" s="48">
        <v>2</v>
      </c>
      <c r="J1385" s="48">
        <v>2</v>
      </c>
      <c r="K1385" s="48">
        <v>6</v>
      </c>
      <c r="M1385" s="48">
        <v>117</v>
      </c>
    </row>
    <row r="1386" spans="9:13" ht="12.75">
      <c r="I1386" s="48">
        <v>3</v>
      </c>
      <c r="K1386" s="48">
        <v>7</v>
      </c>
      <c r="M1386" s="48">
        <v>120</v>
      </c>
    </row>
    <row r="1387" spans="9:13" ht="12.75">
      <c r="I1387" s="48">
        <v>4</v>
      </c>
      <c r="K1387" s="48">
        <v>8</v>
      </c>
      <c r="M1387" s="48">
        <v>125</v>
      </c>
    </row>
    <row r="1388" spans="9:13" ht="12.75">
      <c r="I1388" s="48">
        <v>5</v>
      </c>
      <c r="K1388" s="48">
        <v>9</v>
      </c>
      <c r="M1388" s="48">
        <v>130</v>
      </c>
    </row>
    <row r="1389" spans="9:13" ht="12.75">
      <c r="I1389" s="48">
        <v>6</v>
      </c>
      <c r="K1389" s="48">
        <v>10</v>
      </c>
      <c r="M1389" s="48">
        <v>135</v>
      </c>
    </row>
    <row r="1390" spans="9:13" ht="12.75">
      <c r="I1390" s="48">
        <v>7</v>
      </c>
      <c r="J1390" s="48">
        <v>3</v>
      </c>
      <c r="K1390" s="48">
        <v>6</v>
      </c>
      <c r="M1390" s="48">
        <v>94.7</v>
      </c>
    </row>
    <row r="1391" spans="9:13" ht="12.75">
      <c r="I1391" s="48">
        <v>8</v>
      </c>
      <c r="K1391" s="48">
        <v>7</v>
      </c>
      <c r="M1391" s="48">
        <v>101</v>
      </c>
    </row>
    <row r="1392" spans="9:13" ht="12.75">
      <c r="I1392" s="48">
        <v>9</v>
      </c>
      <c r="K1392" s="48">
        <v>8</v>
      </c>
      <c r="M1392" s="48">
        <v>106.6</v>
      </c>
    </row>
    <row r="1393" spans="9:13" ht="12.75">
      <c r="I1393" s="48">
        <v>10</v>
      </c>
      <c r="K1393" s="48">
        <v>9</v>
      </c>
      <c r="M1393" s="48">
        <v>112</v>
      </c>
    </row>
    <row r="1394" ht="12.75">
      <c r="I1394" s="48">
        <v>11</v>
      </c>
    </row>
    <row r="1395" ht="12.75">
      <c r="I1395" s="48">
        <v>12</v>
      </c>
    </row>
    <row r="1396" ht="12.75">
      <c r="I1396" s="48">
        <v>13</v>
      </c>
    </row>
    <row r="1397" ht="12.75">
      <c r="I1397" s="48">
        <v>14</v>
      </c>
    </row>
    <row r="1398" ht="12.75">
      <c r="I1398" s="48">
        <v>15</v>
      </c>
    </row>
    <row r="1399" ht="12.75">
      <c r="I1399" s="48">
        <v>16</v>
      </c>
    </row>
    <row r="1400" ht="12.75">
      <c r="I1400" s="48">
        <v>17</v>
      </c>
    </row>
    <row r="1401" ht="12.75">
      <c r="I1401" s="48">
        <v>18</v>
      </c>
    </row>
    <row r="1402" ht="12.75">
      <c r="I1402" s="48">
        <v>19</v>
      </c>
    </row>
    <row r="1403" ht="12.75">
      <c r="I1403" s="48">
        <v>20</v>
      </c>
    </row>
    <row r="1404" spans="9:10" ht="12.75">
      <c r="I1404" s="48">
        <v>1</v>
      </c>
      <c r="J1404" s="48" t="s">
        <v>680</v>
      </c>
    </row>
    <row r="1405" spans="9:13" ht="12.75">
      <c r="I1405" s="48">
        <v>2</v>
      </c>
      <c r="J1405" s="48">
        <v>3</v>
      </c>
      <c r="K1405" s="48">
        <v>6</v>
      </c>
      <c r="M1405" s="48">
        <v>93.8</v>
      </c>
    </row>
    <row r="1406" spans="9:13" ht="12.75">
      <c r="I1406" s="48">
        <v>3</v>
      </c>
      <c r="K1406" s="48">
        <v>7</v>
      </c>
      <c r="M1406" s="48">
        <v>100</v>
      </c>
    </row>
    <row r="1407" spans="9:13" ht="12.75">
      <c r="I1407" s="48">
        <v>4</v>
      </c>
      <c r="K1407" s="48">
        <v>8</v>
      </c>
      <c r="M1407" s="48">
        <v>105.3</v>
      </c>
    </row>
    <row r="1408" spans="9:13" ht="12.75">
      <c r="I1408" s="48">
        <v>5</v>
      </c>
      <c r="K1408" s="48">
        <v>9</v>
      </c>
      <c r="M1408" s="48">
        <v>110.7</v>
      </c>
    </row>
    <row r="1409" ht="12.75">
      <c r="I1409" s="48">
        <v>6</v>
      </c>
    </row>
    <row r="1410" ht="12.75">
      <c r="I1410" s="48">
        <v>7</v>
      </c>
    </row>
    <row r="1411" ht="12.75">
      <c r="I1411" s="48">
        <v>8</v>
      </c>
    </row>
    <row r="1412" ht="12.75">
      <c r="I1412" s="48">
        <v>9</v>
      </c>
    </row>
    <row r="1413" ht="12.75">
      <c r="I1413" s="48">
        <v>10</v>
      </c>
    </row>
    <row r="1414" ht="12.75">
      <c r="I1414" s="48">
        <v>11</v>
      </c>
    </row>
    <row r="1415" ht="12.75">
      <c r="I1415" s="48">
        <v>12</v>
      </c>
    </row>
    <row r="1416" ht="12.75">
      <c r="I1416" s="48">
        <v>13</v>
      </c>
    </row>
    <row r="1417" ht="12.75">
      <c r="I1417" s="48">
        <v>14</v>
      </c>
    </row>
    <row r="1418" ht="12.75">
      <c r="I1418" s="48">
        <v>15</v>
      </c>
    </row>
    <row r="1419" ht="12.75">
      <c r="I1419" s="48">
        <v>16</v>
      </c>
    </row>
    <row r="1420" ht="12.75">
      <c r="I1420" s="48">
        <v>17</v>
      </c>
    </row>
    <row r="1421" ht="12.75">
      <c r="I1421" s="48">
        <v>18</v>
      </c>
    </row>
    <row r="1422" ht="12.75">
      <c r="I1422" s="48">
        <v>19</v>
      </c>
    </row>
    <row r="1423" ht="12.75">
      <c r="I1423" s="48">
        <v>20</v>
      </c>
    </row>
    <row r="1424" spans="9:10" ht="12.75">
      <c r="I1424" s="48">
        <v>1</v>
      </c>
      <c r="J1424" s="48" t="s">
        <v>681</v>
      </c>
    </row>
    <row r="1425" spans="9:13" ht="12.75">
      <c r="I1425" s="48">
        <v>2</v>
      </c>
      <c r="J1425" s="48">
        <v>3</v>
      </c>
      <c r="K1425" s="48">
        <v>6</v>
      </c>
      <c r="M1425" s="48">
        <v>92.3</v>
      </c>
    </row>
    <row r="1426" spans="9:13" ht="12.75">
      <c r="I1426" s="48">
        <v>3</v>
      </c>
      <c r="K1426" s="48">
        <v>7</v>
      </c>
      <c r="M1426" s="48">
        <v>98</v>
      </c>
    </row>
    <row r="1427" spans="9:13" ht="12.75">
      <c r="I1427" s="48">
        <v>4</v>
      </c>
      <c r="K1427" s="48">
        <v>8</v>
      </c>
      <c r="M1427" s="48">
        <v>104</v>
      </c>
    </row>
    <row r="1428" spans="9:13" ht="12.75">
      <c r="I1428" s="48">
        <v>5</v>
      </c>
      <c r="K1428" s="48">
        <v>9</v>
      </c>
      <c r="M1428" s="48">
        <v>109.5</v>
      </c>
    </row>
    <row r="1429" spans="9:13" ht="12.75">
      <c r="I1429" s="48">
        <v>6</v>
      </c>
      <c r="J1429" s="48">
        <v>4</v>
      </c>
      <c r="K1429" s="48">
        <v>6</v>
      </c>
      <c r="M1429" s="48">
        <v>76</v>
      </c>
    </row>
    <row r="1430" spans="9:13" ht="12.75">
      <c r="I1430" s="48">
        <v>7</v>
      </c>
      <c r="K1430" s="48">
        <v>8</v>
      </c>
      <c r="M1430" s="48">
        <v>88</v>
      </c>
    </row>
    <row r="1431" ht="12.75">
      <c r="I1431" s="48">
        <v>8</v>
      </c>
    </row>
    <row r="1432" ht="12.75">
      <c r="I1432" s="48">
        <v>9</v>
      </c>
    </row>
    <row r="1433" ht="12.75">
      <c r="I1433" s="48">
        <v>10</v>
      </c>
    </row>
    <row r="1434" ht="12.75">
      <c r="I1434" s="48">
        <v>11</v>
      </c>
    </row>
    <row r="1435" ht="12.75">
      <c r="I1435" s="48">
        <v>12</v>
      </c>
    </row>
    <row r="1436" ht="12.75">
      <c r="I1436" s="48">
        <v>13</v>
      </c>
    </row>
    <row r="1437" ht="12.75">
      <c r="I1437" s="48">
        <v>14</v>
      </c>
    </row>
    <row r="1438" ht="12.75">
      <c r="I1438" s="48">
        <v>15</v>
      </c>
    </row>
    <row r="1439" ht="12.75">
      <c r="I1439" s="48">
        <v>16</v>
      </c>
    </row>
    <row r="1440" ht="12.75">
      <c r="I1440" s="48">
        <v>17</v>
      </c>
    </row>
    <row r="1441" ht="12.75">
      <c r="I1441" s="48">
        <v>18</v>
      </c>
    </row>
    <row r="1442" ht="12.75">
      <c r="I1442" s="48">
        <v>19</v>
      </c>
    </row>
    <row r="1443" ht="12.75">
      <c r="I1443" s="48">
        <v>20</v>
      </c>
    </row>
    <row r="1444" spans="9:10" ht="12.75">
      <c r="I1444" s="48">
        <v>1</v>
      </c>
      <c r="J1444" s="48" t="s">
        <v>682</v>
      </c>
    </row>
    <row r="1445" spans="9:13" ht="12.75">
      <c r="I1445" s="48">
        <v>2</v>
      </c>
      <c r="J1445" s="48">
        <v>2</v>
      </c>
      <c r="K1445" s="48">
        <v>6</v>
      </c>
      <c r="M1445" s="48">
        <v>107</v>
      </c>
    </row>
    <row r="1446" spans="9:13" ht="12.75">
      <c r="I1446" s="48">
        <v>3</v>
      </c>
      <c r="K1446" s="48">
        <v>7</v>
      </c>
      <c r="M1446" s="48">
        <v>113</v>
      </c>
    </row>
    <row r="1447" spans="9:13" ht="12.75">
      <c r="I1447" s="48">
        <v>4</v>
      </c>
      <c r="K1447" s="48">
        <v>8</v>
      </c>
      <c r="M1447" s="48">
        <v>119</v>
      </c>
    </row>
    <row r="1448" spans="9:13" ht="12.75">
      <c r="I1448" s="48">
        <v>5</v>
      </c>
      <c r="J1448" s="48">
        <v>3</v>
      </c>
      <c r="K1448" s="48">
        <v>6</v>
      </c>
      <c r="M1448" s="48">
        <v>91.2</v>
      </c>
    </row>
    <row r="1449" spans="9:13" ht="12.75">
      <c r="I1449" s="48">
        <v>6</v>
      </c>
      <c r="K1449" s="48">
        <v>7</v>
      </c>
      <c r="M1449" s="48">
        <v>97</v>
      </c>
    </row>
    <row r="1450" spans="9:13" ht="12.75">
      <c r="I1450" s="48">
        <v>7</v>
      </c>
      <c r="K1450" s="48">
        <v>8</v>
      </c>
      <c r="M1450" s="48">
        <v>102.7</v>
      </c>
    </row>
    <row r="1451" spans="9:13" ht="12.75">
      <c r="I1451" s="48">
        <v>8</v>
      </c>
      <c r="K1451" s="48">
        <v>9</v>
      </c>
      <c r="M1451" s="48">
        <v>108.3</v>
      </c>
    </row>
    <row r="1452" ht="12.75">
      <c r="I1452" s="48">
        <v>9</v>
      </c>
    </row>
    <row r="1453" ht="12.75">
      <c r="I1453" s="48">
        <v>10</v>
      </c>
    </row>
    <row r="1454" ht="12.75">
      <c r="I1454" s="48">
        <v>11</v>
      </c>
    </row>
    <row r="1455" ht="12.75">
      <c r="I1455" s="48">
        <v>12</v>
      </c>
    </row>
    <row r="1456" ht="12.75">
      <c r="I1456" s="48">
        <v>13</v>
      </c>
    </row>
    <row r="1457" ht="12.75">
      <c r="I1457" s="48">
        <v>14</v>
      </c>
    </row>
    <row r="1458" ht="12.75">
      <c r="I1458" s="48">
        <v>15</v>
      </c>
    </row>
    <row r="1459" ht="12.75">
      <c r="I1459" s="48">
        <v>16</v>
      </c>
    </row>
    <row r="1460" ht="12.75">
      <c r="I1460" s="48">
        <v>17</v>
      </c>
    </row>
    <row r="1461" ht="12.75">
      <c r="I1461" s="48">
        <v>18</v>
      </c>
    </row>
    <row r="1462" ht="12.75">
      <c r="I1462" s="48">
        <v>19</v>
      </c>
    </row>
    <row r="1463" ht="12.75">
      <c r="I1463" s="48">
        <v>20</v>
      </c>
    </row>
    <row r="1464" spans="9:10" ht="12.75">
      <c r="I1464" s="48">
        <v>1</v>
      </c>
      <c r="J1464" s="48" t="s">
        <v>683</v>
      </c>
    </row>
    <row r="1465" spans="9:13" ht="12.75">
      <c r="I1465" s="48">
        <v>2</v>
      </c>
      <c r="J1465" s="48">
        <v>3</v>
      </c>
      <c r="K1465" s="48">
        <v>6</v>
      </c>
      <c r="M1465" s="48">
        <v>90.1</v>
      </c>
    </row>
    <row r="1466" spans="9:13" ht="12.75">
      <c r="I1466" s="48">
        <v>3</v>
      </c>
      <c r="K1466" s="48">
        <v>8</v>
      </c>
      <c r="M1466" s="48">
        <v>101.5</v>
      </c>
    </row>
    <row r="1467" spans="9:13" ht="12.75">
      <c r="I1467" s="48">
        <v>4</v>
      </c>
      <c r="K1467" s="48">
        <v>9</v>
      </c>
      <c r="M1467" s="48">
        <v>107.2</v>
      </c>
    </row>
    <row r="1468" spans="9:13" ht="12.75">
      <c r="I1468" s="48">
        <v>5</v>
      </c>
      <c r="K1468" s="48">
        <v>10</v>
      </c>
      <c r="M1468" s="48">
        <v>112</v>
      </c>
    </row>
    <row r="1469" ht="12.75">
      <c r="I1469" s="48">
        <v>6</v>
      </c>
    </row>
    <row r="1470" ht="12.75">
      <c r="I1470" s="48">
        <v>7</v>
      </c>
    </row>
    <row r="1471" ht="12.75">
      <c r="I1471" s="48">
        <v>8</v>
      </c>
    </row>
    <row r="1472" ht="12.75">
      <c r="I1472" s="48">
        <v>9</v>
      </c>
    </row>
    <row r="1473" ht="12.75">
      <c r="I1473" s="48">
        <v>10</v>
      </c>
    </row>
    <row r="1474" ht="12.75">
      <c r="I1474" s="48">
        <v>11</v>
      </c>
    </row>
    <row r="1475" ht="12.75">
      <c r="I1475" s="48">
        <v>12</v>
      </c>
    </row>
    <row r="1476" ht="12.75">
      <c r="I1476" s="48">
        <v>13</v>
      </c>
    </row>
    <row r="1477" ht="12.75">
      <c r="I1477" s="48">
        <v>14</v>
      </c>
    </row>
    <row r="1478" ht="12.75">
      <c r="I1478" s="48">
        <v>15</v>
      </c>
    </row>
    <row r="1479" ht="12.75">
      <c r="I1479" s="48">
        <v>16</v>
      </c>
    </row>
    <row r="1480" ht="12.75">
      <c r="I1480" s="48">
        <v>17</v>
      </c>
    </row>
    <row r="1481" ht="12.75">
      <c r="I1481" s="48">
        <v>18</v>
      </c>
    </row>
    <row r="1482" ht="12.75">
      <c r="I1482" s="48">
        <v>19</v>
      </c>
    </row>
    <row r="1483" ht="12.75">
      <c r="I1483" s="48">
        <v>20</v>
      </c>
    </row>
    <row r="1484" spans="9:10" ht="12.75">
      <c r="I1484" s="48">
        <v>1</v>
      </c>
      <c r="J1484" s="48" t="s">
        <v>684</v>
      </c>
    </row>
    <row r="1485" spans="9:13" ht="12.75">
      <c r="I1485" s="48">
        <v>2</v>
      </c>
      <c r="J1485" s="48">
        <v>3</v>
      </c>
      <c r="K1485" s="48">
        <v>6</v>
      </c>
      <c r="M1485" s="48">
        <v>89</v>
      </c>
    </row>
    <row r="1486" spans="9:13" ht="12.75">
      <c r="I1486" s="48">
        <v>3</v>
      </c>
      <c r="K1486" s="48">
        <v>7</v>
      </c>
      <c r="M1486" s="48">
        <v>94.5</v>
      </c>
    </row>
    <row r="1487" spans="9:13" ht="12.75">
      <c r="I1487" s="48">
        <v>4</v>
      </c>
      <c r="K1487" s="48">
        <v>8</v>
      </c>
      <c r="M1487" s="48">
        <v>100.4</v>
      </c>
    </row>
    <row r="1488" spans="9:13" ht="12.75">
      <c r="I1488" s="48">
        <v>5</v>
      </c>
      <c r="K1488" s="48">
        <v>9</v>
      </c>
      <c r="M1488" s="48">
        <v>106.2</v>
      </c>
    </row>
    <row r="1489" ht="12.75">
      <c r="I1489" s="48">
        <v>6</v>
      </c>
    </row>
    <row r="1490" ht="12.75">
      <c r="I1490" s="48">
        <v>7</v>
      </c>
    </row>
    <row r="1491" ht="12.75">
      <c r="I1491" s="48">
        <v>8</v>
      </c>
    </row>
    <row r="1492" ht="12.75">
      <c r="I1492" s="48">
        <v>9</v>
      </c>
    </row>
    <row r="1493" ht="12.75">
      <c r="I1493" s="48">
        <v>10</v>
      </c>
    </row>
    <row r="1494" ht="12.75">
      <c r="I1494" s="48">
        <v>11</v>
      </c>
    </row>
    <row r="1495" ht="12.75">
      <c r="I1495" s="48">
        <v>12</v>
      </c>
    </row>
    <row r="1496" ht="12.75">
      <c r="I1496" s="48">
        <v>13</v>
      </c>
    </row>
    <row r="1497" ht="12.75">
      <c r="I1497" s="48">
        <v>14</v>
      </c>
    </row>
    <row r="1498" ht="12.75">
      <c r="I1498" s="48">
        <v>15</v>
      </c>
    </row>
    <row r="1499" ht="12.75">
      <c r="I1499" s="48">
        <v>16</v>
      </c>
    </row>
    <row r="1500" ht="12.75">
      <c r="I1500" s="48">
        <v>17</v>
      </c>
    </row>
    <row r="1501" ht="12.75">
      <c r="I1501" s="48">
        <v>18</v>
      </c>
    </row>
    <row r="1502" ht="12.75">
      <c r="I1502" s="48">
        <v>19</v>
      </c>
    </row>
    <row r="1503" ht="12.75">
      <c r="I1503" s="48">
        <v>20</v>
      </c>
    </row>
    <row r="1504" spans="9:10" ht="12.75">
      <c r="I1504" s="48">
        <v>1</v>
      </c>
      <c r="J1504" s="48" t="s">
        <v>685</v>
      </c>
    </row>
    <row r="1505" spans="9:13" ht="12.75">
      <c r="I1505" s="48">
        <v>2</v>
      </c>
      <c r="J1505" s="48">
        <v>2</v>
      </c>
      <c r="K1505" s="48">
        <v>6</v>
      </c>
      <c r="M1505" s="48">
        <v>103</v>
      </c>
    </row>
    <row r="1506" spans="9:13" ht="12.75">
      <c r="I1506" s="48">
        <v>3</v>
      </c>
      <c r="K1506" s="48">
        <v>7</v>
      </c>
      <c r="M1506" s="48">
        <v>109</v>
      </c>
    </row>
    <row r="1507" spans="9:13" ht="12.75">
      <c r="I1507" s="48">
        <v>4</v>
      </c>
      <c r="J1507" s="48">
        <v>3</v>
      </c>
      <c r="K1507" s="48">
        <v>6</v>
      </c>
      <c r="M1507" s="48">
        <v>88</v>
      </c>
    </row>
    <row r="1508" spans="9:13" ht="12.75">
      <c r="I1508" s="48">
        <v>5</v>
      </c>
      <c r="K1508" s="48">
        <v>8</v>
      </c>
      <c r="M1508" s="48">
        <v>99.4</v>
      </c>
    </row>
    <row r="1509" spans="9:13" ht="12.75">
      <c r="I1509" s="48">
        <v>6</v>
      </c>
      <c r="K1509" s="48">
        <v>9</v>
      </c>
      <c r="M1509" s="48">
        <v>105.2</v>
      </c>
    </row>
    <row r="1510" ht="12.75">
      <c r="I1510" s="48">
        <v>7</v>
      </c>
    </row>
    <row r="1511" ht="12.75">
      <c r="I1511" s="48">
        <v>8</v>
      </c>
    </row>
    <row r="1512" ht="12.75">
      <c r="I1512" s="48">
        <v>9</v>
      </c>
    </row>
    <row r="1513" ht="12.75">
      <c r="I1513" s="48">
        <v>10</v>
      </c>
    </row>
    <row r="1514" ht="12.75">
      <c r="I1514" s="48">
        <v>11</v>
      </c>
    </row>
    <row r="1515" ht="12.75">
      <c r="I1515" s="48">
        <v>12</v>
      </c>
    </row>
    <row r="1516" ht="12.75">
      <c r="I1516" s="48">
        <v>13</v>
      </c>
    </row>
    <row r="1517" ht="12.75">
      <c r="I1517" s="48">
        <v>14</v>
      </c>
    </row>
    <row r="1518" ht="12.75">
      <c r="I1518" s="48">
        <v>15</v>
      </c>
    </row>
    <row r="1519" ht="12.75">
      <c r="I1519" s="48">
        <v>16</v>
      </c>
    </row>
    <row r="1520" ht="12.75">
      <c r="I1520" s="48">
        <v>17</v>
      </c>
    </row>
    <row r="1521" ht="12.75">
      <c r="I1521" s="48">
        <v>18</v>
      </c>
    </row>
    <row r="1522" ht="12.75">
      <c r="I1522" s="48">
        <v>19</v>
      </c>
    </row>
    <row r="1523" ht="12.75">
      <c r="I1523" s="48">
        <v>20</v>
      </c>
    </row>
    <row r="1524" spans="9:10" ht="12.75">
      <c r="I1524" s="48">
        <v>1</v>
      </c>
      <c r="J1524" s="48" t="s">
        <v>686</v>
      </c>
    </row>
    <row r="1525" spans="9:13" ht="12.75">
      <c r="I1525" s="48">
        <v>2</v>
      </c>
      <c r="J1525" s="48">
        <v>2</v>
      </c>
      <c r="K1525" s="48">
        <v>6</v>
      </c>
      <c r="M1525" s="48">
        <v>102</v>
      </c>
    </row>
    <row r="1526" spans="9:13" ht="12.75">
      <c r="I1526" s="48">
        <v>3</v>
      </c>
      <c r="K1526" s="48">
        <v>7</v>
      </c>
      <c r="M1526" s="48">
        <v>108</v>
      </c>
    </row>
    <row r="1527" spans="9:13" ht="12.75">
      <c r="I1527" s="48">
        <v>4</v>
      </c>
      <c r="K1527" s="48">
        <v>8</v>
      </c>
      <c r="M1527" s="48">
        <v>114</v>
      </c>
    </row>
    <row r="1528" spans="9:13" ht="12.75">
      <c r="I1528" s="48">
        <v>5</v>
      </c>
      <c r="J1528" s="48">
        <v>3</v>
      </c>
      <c r="K1528" s="48">
        <v>6</v>
      </c>
      <c r="M1528" s="48">
        <v>86.8</v>
      </c>
    </row>
    <row r="1529" spans="9:13" ht="12.75">
      <c r="I1529" s="48">
        <v>6</v>
      </c>
      <c r="K1529" s="48">
        <v>7</v>
      </c>
      <c r="M1529" s="48">
        <v>92.5</v>
      </c>
    </row>
    <row r="1530" spans="9:13" ht="12.75">
      <c r="I1530" s="48">
        <v>7</v>
      </c>
      <c r="K1530" s="48">
        <v>8</v>
      </c>
      <c r="M1530" s="48">
        <v>98.5</v>
      </c>
    </row>
    <row r="1531" spans="9:13" ht="12.75">
      <c r="I1531" s="48">
        <v>8</v>
      </c>
      <c r="K1531" s="48">
        <v>9</v>
      </c>
      <c r="M1531" s="48">
        <v>104.2</v>
      </c>
    </row>
    <row r="1532" ht="12.75">
      <c r="I1532" s="48">
        <v>9</v>
      </c>
    </row>
    <row r="1533" ht="12.75">
      <c r="I1533" s="48">
        <v>10</v>
      </c>
    </row>
    <row r="1534" ht="12.75">
      <c r="I1534" s="48">
        <v>11</v>
      </c>
    </row>
    <row r="1535" ht="12.75">
      <c r="I1535" s="48">
        <v>12</v>
      </c>
    </row>
    <row r="1536" ht="12.75">
      <c r="I1536" s="48">
        <v>13</v>
      </c>
    </row>
    <row r="1537" ht="12.75">
      <c r="I1537" s="48">
        <v>14</v>
      </c>
    </row>
    <row r="1538" ht="12.75">
      <c r="I1538" s="48">
        <v>15</v>
      </c>
    </row>
    <row r="1539" ht="12.75">
      <c r="I1539" s="48">
        <v>16</v>
      </c>
    </row>
    <row r="1540" ht="12.75">
      <c r="I1540" s="48">
        <v>17</v>
      </c>
    </row>
    <row r="1541" ht="12.75">
      <c r="I1541" s="48">
        <v>18</v>
      </c>
    </row>
    <row r="1542" ht="12.75">
      <c r="I1542" s="48">
        <v>19</v>
      </c>
    </row>
    <row r="1543" ht="12.75">
      <c r="I1543" s="48">
        <v>20</v>
      </c>
    </row>
    <row r="1544" spans="9:10" ht="12.75">
      <c r="I1544" s="48">
        <v>1</v>
      </c>
      <c r="J1544" s="48" t="s">
        <v>687</v>
      </c>
    </row>
    <row r="1545" spans="9:13" ht="12.75">
      <c r="I1545" s="48">
        <v>2</v>
      </c>
      <c r="J1545" s="48">
        <v>3</v>
      </c>
      <c r="K1545" s="48">
        <v>6</v>
      </c>
      <c r="M1545" s="48">
        <v>86.1</v>
      </c>
    </row>
    <row r="1546" spans="9:13" ht="12.75">
      <c r="I1546" s="48">
        <v>3</v>
      </c>
      <c r="K1546" s="48">
        <v>8</v>
      </c>
      <c r="M1546" s="48">
        <v>97.7</v>
      </c>
    </row>
    <row r="1547" spans="9:13" ht="12.75">
      <c r="I1547" s="48">
        <v>4</v>
      </c>
      <c r="K1547" s="48">
        <v>9</v>
      </c>
      <c r="M1547" s="48">
        <v>103.2</v>
      </c>
    </row>
    <row r="1548" ht="12.75">
      <c r="I1548" s="48">
        <v>5</v>
      </c>
    </row>
    <row r="1549" ht="12.75">
      <c r="I1549" s="48">
        <v>6</v>
      </c>
    </row>
    <row r="1550" ht="12.75">
      <c r="I1550" s="48">
        <v>7</v>
      </c>
    </row>
    <row r="1551" ht="12.75">
      <c r="I1551" s="48">
        <v>8</v>
      </c>
    </row>
    <row r="1552" ht="12.75">
      <c r="I1552" s="48">
        <v>9</v>
      </c>
    </row>
    <row r="1553" ht="12.75">
      <c r="I1553" s="48">
        <v>10</v>
      </c>
    </row>
    <row r="1554" ht="12.75">
      <c r="I1554" s="48">
        <v>11</v>
      </c>
    </row>
    <row r="1555" ht="12.75">
      <c r="I1555" s="48">
        <v>12</v>
      </c>
    </row>
    <row r="1556" ht="12.75">
      <c r="I1556" s="48">
        <v>13</v>
      </c>
    </row>
    <row r="1557" ht="12.75">
      <c r="I1557" s="48">
        <v>14</v>
      </c>
    </row>
    <row r="1558" ht="12.75">
      <c r="I1558" s="48">
        <v>15</v>
      </c>
    </row>
    <row r="1559" ht="12.75">
      <c r="I1559" s="48">
        <v>16</v>
      </c>
    </row>
    <row r="1560" ht="12.75">
      <c r="I1560" s="48">
        <v>17</v>
      </c>
    </row>
    <row r="1561" ht="12.75">
      <c r="I1561" s="48">
        <v>18</v>
      </c>
    </row>
    <row r="1562" ht="12.75">
      <c r="I1562" s="48">
        <v>19</v>
      </c>
    </row>
    <row r="1563" ht="12.75">
      <c r="I1563" s="48">
        <v>20</v>
      </c>
    </row>
    <row r="1564" spans="9:10" ht="12.75">
      <c r="I1564" s="48">
        <v>1</v>
      </c>
      <c r="J1564" s="48" t="s">
        <v>612</v>
      </c>
    </row>
    <row r="1565" spans="9:13" ht="12.75">
      <c r="I1565" s="48">
        <v>2</v>
      </c>
      <c r="J1565" s="48">
        <v>4</v>
      </c>
      <c r="K1565" s="48">
        <v>4</v>
      </c>
      <c r="M1565" s="48">
        <v>58</v>
      </c>
    </row>
    <row r="1566" spans="9:13" ht="12.75">
      <c r="I1566" s="48">
        <v>3</v>
      </c>
      <c r="K1566" s="48">
        <v>6</v>
      </c>
      <c r="M1566" s="48">
        <v>71</v>
      </c>
    </row>
    <row r="1567" spans="9:13" ht="12.75">
      <c r="I1567" s="48">
        <v>4</v>
      </c>
      <c r="K1567" s="48">
        <v>7</v>
      </c>
      <c r="M1567" s="48">
        <v>76</v>
      </c>
    </row>
    <row r="1568" spans="9:13" ht="12.75">
      <c r="I1568" s="48">
        <v>5</v>
      </c>
      <c r="K1568" s="48">
        <v>8</v>
      </c>
      <c r="M1568" s="48">
        <v>83</v>
      </c>
    </row>
    <row r="1569" ht="12.75">
      <c r="I1569" s="48">
        <v>6</v>
      </c>
    </row>
    <row r="1570" ht="12.75">
      <c r="I1570" s="48">
        <v>7</v>
      </c>
    </row>
    <row r="1571" ht="12.75">
      <c r="I1571" s="48">
        <v>8</v>
      </c>
    </row>
    <row r="1572" ht="12.75">
      <c r="I1572" s="48">
        <v>9</v>
      </c>
    </row>
    <row r="1573" ht="12.75">
      <c r="I1573" s="48">
        <v>10</v>
      </c>
    </row>
    <row r="1574" ht="12.75">
      <c r="I1574" s="48">
        <v>11</v>
      </c>
    </row>
    <row r="1575" ht="12.75">
      <c r="I1575" s="48">
        <v>12</v>
      </c>
    </row>
    <row r="1576" ht="12.75">
      <c r="I1576" s="48">
        <v>13</v>
      </c>
    </row>
    <row r="1577" ht="12.75">
      <c r="I1577" s="48">
        <v>14</v>
      </c>
    </row>
    <row r="1578" ht="12.75">
      <c r="I1578" s="48">
        <v>15</v>
      </c>
    </row>
    <row r="1579" ht="12.75">
      <c r="I1579" s="48">
        <v>16</v>
      </c>
    </row>
    <row r="1580" ht="12.75">
      <c r="I1580" s="48">
        <v>17</v>
      </c>
    </row>
    <row r="1581" ht="12.75">
      <c r="I1581" s="48">
        <v>18</v>
      </c>
    </row>
    <row r="1582" ht="12.75">
      <c r="I1582" s="48">
        <v>19</v>
      </c>
    </row>
    <row r="1583" ht="12.75">
      <c r="I1583" s="48">
        <v>20</v>
      </c>
    </row>
    <row r="1584" spans="9:10" ht="12.75">
      <c r="I1584" s="48">
        <v>1</v>
      </c>
      <c r="J1584" s="48" t="s">
        <v>614</v>
      </c>
    </row>
    <row r="1585" spans="9:13" ht="12.75">
      <c r="I1585" s="48">
        <v>2</v>
      </c>
      <c r="J1585" s="48">
        <v>3</v>
      </c>
      <c r="K1585" s="48">
        <v>6</v>
      </c>
      <c r="M1585" s="48">
        <v>72</v>
      </c>
    </row>
    <row r="1586" spans="9:13" ht="12.75">
      <c r="I1586" s="48">
        <v>3</v>
      </c>
      <c r="J1586" s="48">
        <v>4</v>
      </c>
      <c r="K1586" s="48">
        <v>6</v>
      </c>
      <c r="M1586" s="48">
        <v>68</v>
      </c>
    </row>
    <row r="1587" spans="9:13" ht="12.75">
      <c r="I1587" s="48">
        <v>4</v>
      </c>
      <c r="J1587" s="48">
        <v>5</v>
      </c>
      <c r="K1587" s="48">
        <v>6</v>
      </c>
      <c r="M1587" s="48">
        <v>64</v>
      </c>
    </row>
    <row r="1588" spans="9:13" ht="12.75">
      <c r="I1588" s="48">
        <v>5</v>
      </c>
      <c r="K1588" s="48">
        <v>7</v>
      </c>
      <c r="M1588" s="48">
        <v>69</v>
      </c>
    </row>
    <row r="1589" spans="9:13" ht="12.75">
      <c r="I1589" s="48">
        <v>6</v>
      </c>
      <c r="K1589" s="48">
        <v>8</v>
      </c>
      <c r="M1589" s="48">
        <v>74</v>
      </c>
    </row>
    <row r="1590" ht="12.75">
      <c r="I1590" s="48">
        <v>7</v>
      </c>
    </row>
    <row r="1591" ht="12.75">
      <c r="I1591" s="48">
        <v>8</v>
      </c>
    </row>
    <row r="1592" ht="12.75">
      <c r="I1592" s="48">
        <v>9</v>
      </c>
    </row>
    <row r="1593" ht="12.75">
      <c r="I1593" s="48">
        <v>10</v>
      </c>
    </row>
    <row r="1594" ht="12.75">
      <c r="I1594" s="48">
        <v>11</v>
      </c>
    </row>
    <row r="1595" ht="12.75">
      <c r="I1595" s="48">
        <v>12</v>
      </c>
    </row>
    <row r="1596" ht="12.75">
      <c r="I1596" s="48">
        <v>13</v>
      </c>
    </row>
    <row r="1597" ht="12.75">
      <c r="I1597" s="48">
        <v>14</v>
      </c>
    </row>
    <row r="1598" ht="12.75">
      <c r="I1598" s="48">
        <v>15</v>
      </c>
    </row>
    <row r="1599" ht="12.75">
      <c r="I1599" s="48">
        <v>16</v>
      </c>
    </row>
    <row r="1600" ht="12.75">
      <c r="I1600" s="48">
        <v>17</v>
      </c>
    </row>
    <row r="1601" ht="12.75">
      <c r="I1601" s="48">
        <v>18</v>
      </c>
    </row>
    <row r="1602" ht="12.75">
      <c r="I1602" s="48">
        <v>19</v>
      </c>
    </row>
    <row r="1603" ht="12.75">
      <c r="I1603" s="48">
        <v>20</v>
      </c>
    </row>
    <row r="1604" spans="9:10" ht="12.75">
      <c r="I1604" s="48">
        <v>1</v>
      </c>
      <c r="J1604" s="48" t="s">
        <v>689</v>
      </c>
    </row>
    <row r="1605" spans="9:13" ht="12.75">
      <c r="I1605" s="48">
        <v>2</v>
      </c>
      <c r="J1605" s="48">
        <v>4</v>
      </c>
      <c r="K1605" s="48">
        <v>6</v>
      </c>
      <c r="M1605" s="48">
        <v>66</v>
      </c>
    </row>
    <row r="1606" spans="9:13" ht="12.75">
      <c r="I1606" s="48">
        <v>3</v>
      </c>
      <c r="J1606" s="48">
        <v>5</v>
      </c>
      <c r="K1606" s="48">
        <v>6</v>
      </c>
      <c r="M1606" s="48">
        <v>62</v>
      </c>
    </row>
    <row r="1607" spans="9:13" ht="12.75">
      <c r="I1607" s="48">
        <v>4</v>
      </c>
      <c r="J1607" s="48">
        <v>6</v>
      </c>
      <c r="K1607" s="48">
        <v>4</v>
      </c>
      <c r="M1607" s="48">
        <v>42</v>
      </c>
    </row>
    <row r="1608" spans="9:13" ht="12.75">
      <c r="I1608" s="48">
        <v>5</v>
      </c>
      <c r="K1608" s="48">
        <v>5</v>
      </c>
      <c r="M1608" s="48">
        <v>51</v>
      </c>
    </row>
    <row r="1609" spans="9:13" ht="12.75">
      <c r="I1609" s="48">
        <v>6</v>
      </c>
      <c r="K1609" s="48">
        <v>6</v>
      </c>
      <c r="M1609" s="48">
        <v>60</v>
      </c>
    </row>
    <row r="1610" ht="12.75">
      <c r="I1610" s="48">
        <v>7</v>
      </c>
    </row>
    <row r="1611" ht="12.75">
      <c r="I1611" s="48">
        <v>8</v>
      </c>
    </row>
    <row r="1612" ht="12.75">
      <c r="I1612" s="48">
        <v>9</v>
      </c>
    </row>
    <row r="1613" ht="12.75">
      <c r="I1613" s="48">
        <v>10</v>
      </c>
    </row>
    <row r="1614" ht="12.75">
      <c r="I1614" s="48">
        <v>11</v>
      </c>
    </row>
    <row r="1615" ht="12.75">
      <c r="I1615" s="48">
        <v>12</v>
      </c>
    </row>
    <row r="1616" ht="12.75">
      <c r="I1616" s="48">
        <v>13</v>
      </c>
    </row>
    <row r="1617" ht="12.75">
      <c r="I1617" s="48">
        <v>14</v>
      </c>
    </row>
    <row r="1618" ht="12.75">
      <c r="I1618" s="48">
        <v>15</v>
      </c>
    </row>
    <row r="1619" ht="12.75">
      <c r="I1619" s="48">
        <v>16</v>
      </c>
    </row>
    <row r="1620" ht="12.75">
      <c r="I1620" s="48">
        <v>17</v>
      </c>
    </row>
    <row r="1621" ht="12.75">
      <c r="I1621" s="48">
        <v>18</v>
      </c>
    </row>
    <row r="1622" ht="12.75">
      <c r="I1622" s="48">
        <v>19</v>
      </c>
    </row>
    <row r="1623" ht="12.75">
      <c r="I1623" s="48">
        <v>20</v>
      </c>
    </row>
    <row r="1624" spans="9:10" ht="12.75">
      <c r="I1624" s="48">
        <v>1</v>
      </c>
      <c r="J1624" s="48" t="s">
        <v>691</v>
      </c>
    </row>
    <row r="1625" spans="9:13" ht="12.75">
      <c r="I1625" s="48">
        <v>2</v>
      </c>
      <c r="J1625" s="48">
        <v>4</v>
      </c>
      <c r="K1625" s="48">
        <v>6</v>
      </c>
      <c r="M1625" s="48">
        <v>63</v>
      </c>
    </row>
    <row r="1626" spans="9:13" ht="12.75">
      <c r="I1626" s="48">
        <v>3</v>
      </c>
      <c r="J1626" s="48">
        <v>5</v>
      </c>
      <c r="K1626" s="48">
        <v>6</v>
      </c>
      <c r="M1626" s="48">
        <v>58</v>
      </c>
    </row>
    <row r="1627" spans="9:13" ht="12.75">
      <c r="I1627" s="48">
        <v>4</v>
      </c>
      <c r="J1627" s="48">
        <v>6</v>
      </c>
      <c r="K1627" s="48">
        <v>6</v>
      </c>
      <c r="M1627" s="48">
        <v>55</v>
      </c>
    </row>
    <row r="1628" spans="9:13" ht="12.75">
      <c r="I1628" s="48">
        <v>5</v>
      </c>
      <c r="J1628" s="48">
        <v>7</v>
      </c>
      <c r="K1628" s="48">
        <v>4</v>
      </c>
      <c r="M1628" s="48">
        <v>38</v>
      </c>
    </row>
    <row r="1629" spans="9:13" ht="12.75">
      <c r="I1629" s="48">
        <v>6</v>
      </c>
      <c r="K1629" s="48">
        <v>6</v>
      </c>
      <c r="M1629" s="48">
        <v>53</v>
      </c>
    </row>
    <row r="1630" ht="12.75">
      <c r="I1630" s="48">
        <v>7</v>
      </c>
    </row>
    <row r="1631" ht="12.75">
      <c r="I1631" s="48">
        <v>8</v>
      </c>
    </row>
    <row r="1632" ht="12.75">
      <c r="I1632" s="48">
        <v>9</v>
      </c>
    </row>
    <row r="1633" ht="12.75">
      <c r="I1633" s="48">
        <v>10</v>
      </c>
    </row>
    <row r="1634" ht="12.75">
      <c r="I1634" s="48">
        <v>11</v>
      </c>
    </row>
    <row r="1635" ht="12.75">
      <c r="I1635" s="48">
        <v>12</v>
      </c>
    </row>
    <row r="1636" ht="12.75">
      <c r="I1636" s="48">
        <v>13</v>
      </c>
    </row>
    <row r="1637" ht="12.75">
      <c r="I1637" s="48">
        <v>14</v>
      </c>
    </row>
    <row r="1638" ht="12.75">
      <c r="I1638" s="48">
        <v>15</v>
      </c>
    </row>
    <row r="1639" ht="12.75">
      <c r="I1639" s="48">
        <v>16</v>
      </c>
    </row>
    <row r="1640" ht="12.75">
      <c r="I1640" s="48">
        <v>17</v>
      </c>
    </row>
    <row r="1641" ht="12.75">
      <c r="I1641" s="48">
        <v>18</v>
      </c>
    </row>
    <row r="1642" ht="12.75">
      <c r="I1642" s="48">
        <v>19</v>
      </c>
    </row>
    <row r="1643" ht="12.75">
      <c r="I1643" s="48">
        <v>20</v>
      </c>
    </row>
    <row r="1644" spans="9:10" ht="12.75">
      <c r="I1644" s="48">
        <v>1</v>
      </c>
      <c r="J1644" s="48" t="s">
        <v>693</v>
      </c>
    </row>
    <row r="1645" spans="9:13" ht="12.75">
      <c r="I1645" s="48">
        <v>2</v>
      </c>
      <c r="J1645" s="48">
        <v>4</v>
      </c>
      <c r="K1645" s="48">
        <v>6</v>
      </c>
      <c r="M1645" s="48">
        <v>63</v>
      </c>
    </row>
    <row r="1646" spans="9:13" ht="12.75">
      <c r="I1646" s="48">
        <v>3</v>
      </c>
      <c r="J1646" s="48">
        <v>5</v>
      </c>
      <c r="K1646" s="48">
        <v>6</v>
      </c>
      <c r="M1646" s="48">
        <v>57.5</v>
      </c>
    </row>
    <row r="1647" spans="9:13" ht="12.75">
      <c r="I1647" s="48">
        <v>4</v>
      </c>
      <c r="J1647" s="48">
        <v>6</v>
      </c>
      <c r="K1647" s="48">
        <v>5</v>
      </c>
      <c r="M1647" s="48">
        <v>49</v>
      </c>
    </row>
    <row r="1648" spans="9:13" ht="12.75">
      <c r="I1648" s="48">
        <v>5</v>
      </c>
      <c r="K1648" s="48">
        <v>6</v>
      </c>
      <c r="M1648" s="48">
        <v>54.5</v>
      </c>
    </row>
    <row r="1649" spans="9:13" ht="12.75">
      <c r="I1649" s="48">
        <v>6</v>
      </c>
      <c r="J1649" s="48">
        <v>7</v>
      </c>
      <c r="K1649" s="48">
        <v>6</v>
      </c>
      <c r="M1649" s="48">
        <v>52.5</v>
      </c>
    </row>
    <row r="1650" spans="9:13" ht="12.75">
      <c r="I1650" s="48">
        <v>7</v>
      </c>
      <c r="J1650" s="48">
        <v>8</v>
      </c>
      <c r="K1650" s="48">
        <v>4</v>
      </c>
      <c r="M1650" s="48">
        <v>39</v>
      </c>
    </row>
    <row r="1651" ht="12.75">
      <c r="I1651" s="48">
        <v>8</v>
      </c>
    </row>
    <row r="1652" ht="12.75">
      <c r="I1652" s="48">
        <v>9</v>
      </c>
    </row>
    <row r="1653" ht="12.75">
      <c r="I1653" s="48">
        <v>10</v>
      </c>
    </row>
    <row r="1654" ht="12.75">
      <c r="I1654" s="48">
        <v>11</v>
      </c>
    </row>
    <row r="1655" ht="12.75">
      <c r="I1655" s="48">
        <v>12</v>
      </c>
    </row>
    <row r="1656" ht="12.75">
      <c r="I1656" s="48">
        <v>13</v>
      </c>
    </row>
    <row r="1657" ht="12.75">
      <c r="I1657" s="48">
        <v>14</v>
      </c>
    </row>
    <row r="1658" ht="12.75">
      <c r="I1658" s="48">
        <v>15</v>
      </c>
    </row>
    <row r="1659" ht="12.75">
      <c r="I1659" s="48">
        <v>16</v>
      </c>
    </row>
    <row r="1660" ht="12.75">
      <c r="I1660" s="48">
        <v>17</v>
      </c>
    </row>
    <row r="1661" ht="12.75">
      <c r="I1661" s="48">
        <v>18</v>
      </c>
    </row>
    <row r="1662" ht="12.75">
      <c r="I1662" s="48">
        <v>19</v>
      </c>
    </row>
    <row r="1663" ht="12.75">
      <c r="I1663" s="48">
        <v>20</v>
      </c>
    </row>
    <row r="1664" spans="9:10" ht="12.75">
      <c r="I1664" s="48">
        <v>1</v>
      </c>
      <c r="J1664" s="48" t="s">
        <v>694</v>
      </c>
    </row>
    <row r="1665" spans="9:13" ht="12.75">
      <c r="I1665" s="48">
        <v>2</v>
      </c>
      <c r="J1665" s="48">
        <v>3</v>
      </c>
      <c r="K1665" s="48">
        <v>6</v>
      </c>
      <c r="M1665" s="48">
        <v>68</v>
      </c>
    </row>
    <row r="1666" spans="9:13" ht="12.75">
      <c r="I1666" s="48">
        <v>3</v>
      </c>
      <c r="J1666" s="48">
        <v>4</v>
      </c>
      <c r="K1666" s="48">
        <v>6</v>
      </c>
      <c r="M1666" s="48">
        <v>62.5</v>
      </c>
    </row>
    <row r="1667" spans="9:13" ht="12.75">
      <c r="I1667" s="48">
        <v>4</v>
      </c>
      <c r="J1667" s="48">
        <v>5</v>
      </c>
      <c r="K1667" s="48">
        <v>6</v>
      </c>
      <c r="M1667" s="48">
        <v>57</v>
      </c>
    </row>
    <row r="1668" ht="12.75">
      <c r="I1668" s="48">
        <v>5</v>
      </c>
    </row>
    <row r="1669" ht="12.75">
      <c r="I1669" s="48">
        <v>6</v>
      </c>
    </row>
    <row r="1670" ht="12.75">
      <c r="I1670" s="48">
        <v>7</v>
      </c>
    </row>
    <row r="1671" ht="12.75">
      <c r="I1671" s="48">
        <v>8</v>
      </c>
    </row>
    <row r="1672" ht="12.75">
      <c r="I1672" s="48">
        <v>9</v>
      </c>
    </row>
    <row r="1673" ht="12.75">
      <c r="I1673" s="48">
        <v>10</v>
      </c>
    </row>
    <row r="1674" ht="12.75">
      <c r="I1674" s="48">
        <v>11</v>
      </c>
    </row>
    <row r="1675" ht="12.75">
      <c r="I1675" s="48">
        <v>12</v>
      </c>
    </row>
    <row r="1676" ht="12.75">
      <c r="I1676" s="48">
        <v>13</v>
      </c>
    </row>
    <row r="1677" ht="12.75">
      <c r="I1677" s="48">
        <v>14</v>
      </c>
    </row>
    <row r="1678" ht="12.75">
      <c r="I1678" s="48">
        <v>15</v>
      </c>
    </row>
    <row r="1679" ht="12.75">
      <c r="I1679" s="48">
        <v>16</v>
      </c>
    </row>
    <row r="1680" ht="12.75">
      <c r="I1680" s="48">
        <v>17</v>
      </c>
    </row>
    <row r="1681" ht="12.75">
      <c r="I1681" s="48">
        <v>18</v>
      </c>
    </row>
    <row r="1682" ht="12.75">
      <c r="I1682" s="48">
        <v>19</v>
      </c>
    </row>
    <row r="1683" ht="12.75">
      <c r="I1683" s="48">
        <v>20</v>
      </c>
    </row>
    <row r="1684" spans="9:10" ht="12.75">
      <c r="I1684" s="48">
        <v>1</v>
      </c>
      <c r="J1684" s="48" t="s">
        <v>644</v>
      </c>
    </row>
    <row r="1685" spans="9:13" ht="12.75">
      <c r="I1685" s="48">
        <v>2</v>
      </c>
      <c r="J1685" s="48">
        <v>2</v>
      </c>
      <c r="K1685" s="48" t="s">
        <v>845</v>
      </c>
      <c r="M1685" s="48">
        <v>60</v>
      </c>
    </row>
    <row r="1686" spans="9:13" ht="12.75">
      <c r="I1686" s="48">
        <v>3</v>
      </c>
      <c r="K1686" s="48">
        <v>6</v>
      </c>
      <c r="M1686" s="48">
        <v>80</v>
      </c>
    </row>
    <row r="1687" spans="9:13" ht="12.75">
      <c r="I1687" s="48">
        <v>4</v>
      </c>
      <c r="J1687" s="48">
        <v>4</v>
      </c>
      <c r="K1687" s="48">
        <v>6</v>
      </c>
      <c r="M1687" s="48">
        <v>62.5</v>
      </c>
    </row>
    <row r="1688" spans="9:13" ht="12.75">
      <c r="I1688" s="48">
        <v>5</v>
      </c>
      <c r="J1688" s="48">
        <v>5</v>
      </c>
      <c r="K1688" s="48">
        <v>6</v>
      </c>
      <c r="M1688" s="48">
        <v>57</v>
      </c>
    </row>
    <row r="1689" ht="12.75">
      <c r="I1689" s="48">
        <v>6</v>
      </c>
    </row>
    <row r="1690" ht="12.75">
      <c r="I1690" s="48">
        <v>7</v>
      </c>
    </row>
    <row r="1691" ht="12.75">
      <c r="I1691" s="48">
        <v>8</v>
      </c>
    </row>
    <row r="1692" ht="12.75">
      <c r="I1692" s="48">
        <v>9</v>
      </c>
    </row>
    <row r="1693" ht="12.75">
      <c r="I1693" s="48">
        <v>10</v>
      </c>
    </row>
    <row r="1694" ht="12.75">
      <c r="I1694" s="48">
        <v>11</v>
      </c>
    </row>
    <row r="1695" ht="12.75">
      <c r="I1695" s="48">
        <v>12</v>
      </c>
    </row>
    <row r="1696" ht="12.75">
      <c r="I1696" s="48">
        <v>13</v>
      </c>
    </row>
    <row r="1697" ht="12.75">
      <c r="I1697" s="48">
        <v>14</v>
      </c>
    </row>
    <row r="1698" ht="12.75">
      <c r="I1698" s="48">
        <v>15</v>
      </c>
    </row>
    <row r="1699" ht="12.75">
      <c r="I1699" s="48">
        <v>16</v>
      </c>
    </row>
    <row r="1700" ht="12.75">
      <c r="I1700" s="48">
        <v>17</v>
      </c>
    </row>
    <row r="1701" ht="12.75">
      <c r="I1701" s="48">
        <v>18</v>
      </c>
    </row>
    <row r="1702" ht="12.75">
      <c r="I1702" s="48">
        <v>19</v>
      </c>
    </row>
    <row r="1703" ht="12.75">
      <c r="I1703" s="48">
        <v>20</v>
      </c>
    </row>
    <row r="1704" spans="9:10" ht="12.75">
      <c r="I1704" s="48">
        <v>1</v>
      </c>
      <c r="J1704" s="48" t="s">
        <v>695</v>
      </c>
    </row>
    <row r="1705" spans="9:13" ht="12.75">
      <c r="I1705" s="48">
        <v>2</v>
      </c>
      <c r="J1705" s="48">
        <v>1</v>
      </c>
      <c r="K1705" s="48">
        <v>6</v>
      </c>
      <c r="M1705" s="48">
        <v>137</v>
      </c>
    </row>
    <row r="1706" spans="9:13" ht="12.75">
      <c r="I1706" s="48">
        <v>3</v>
      </c>
      <c r="J1706" s="48">
        <v>3</v>
      </c>
      <c r="K1706" s="48" t="s">
        <v>845</v>
      </c>
      <c r="M1706" s="48">
        <v>68</v>
      </c>
    </row>
    <row r="1707" spans="9:13" ht="12.75">
      <c r="I1707" s="48">
        <v>4</v>
      </c>
      <c r="K1707" s="48">
        <v>6</v>
      </c>
      <c r="M1707" s="48">
        <v>85</v>
      </c>
    </row>
    <row r="1708" spans="9:13" ht="12.75">
      <c r="I1708" s="48">
        <v>5</v>
      </c>
      <c r="J1708" s="48">
        <v>5</v>
      </c>
      <c r="K1708" s="48">
        <v>6</v>
      </c>
      <c r="M1708" s="48">
        <v>57</v>
      </c>
    </row>
    <row r="1709" ht="12.75">
      <c r="I1709" s="48">
        <v>6</v>
      </c>
    </row>
    <row r="1710" ht="12.75">
      <c r="I1710" s="48">
        <v>7</v>
      </c>
    </row>
    <row r="1711" ht="12.75">
      <c r="I1711" s="48">
        <v>8</v>
      </c>
    </row>
    <row r="1712" ht="12.75">
      <c r="I1712" s="48">
        <v>9</v>
      </c>
    </row>
    <row r="1713" ht="12.75">
      <c r="I1713" s="48">
        <v>10</v>
      </c>
    </row>
    <row r="1714" ht="12.75">
      <c r="I1714" s="48">
        <v>11</v>
      </c>
    </row>
    <row r="1715" ht="12.75">
      <c r="I1715" s="48">
        <v>12</v>
      </c>
    </row>
    <row r="1716" ht="12.75">
      <c r="I1716" s="48">
        <v>13</v>
      </c>
    </row>
    <row r="1717" ht="12.75">
      <c r="I1717" s="48">
        <v>14</v>
      </c>
    </row>
    <row r="1718" ht="12.75">
      <c r="I1718" s="48">
        <v>15</v>
      </c>
    </row>
    <row r="1719" ht="12.75">
      <c r="I1719" s="48">
        <v>16</v>
      </c>
    </row>
    <row r="1720" ht="12.75">
      <c r="I1720" s="48">
        <v>17</v>
      </c>
    </row>
    <row r="1721" ht="12.75">
      <c r="I1721" s="48">
        <v>18</v>
      </c>
    </row>
    <row r="1722" ht="12.75">
      <c r="I1722" s="48">
        <v>19</v>
      </c>
    </row>
    <row r="1723" ht="12.75">
      <c r="I1723" s="48">
        <v>20</v>
      </c>
    </row>
    <row r="1724" spans="9:10" ht="12.75">
      <c r="I1724" s="48">
        <v>1</v>
      </c>
      <c r="J1724" s="48" t="s">
        <v>636</v>
      </c>
    </row>
    <row r="1725" spans="9:13" ht="12.75">
      <c r="I1725" s="48">
        <v>2</v>
      </c>
      <c r="J1725" s="48">
        <v>1</v>
      </c>
      <c r="K1725" s="48">
        <v>3</v>
      </c>
      <c r="M1725" s="48">
        <v>97</v>
      </c>
    </row>
    <row r="1726" spans="9:13" ht="12.75">
      <c r="I1726" s="48">
        <v>3</v>
      </c>
      <c r="K1726" s="48">
        <v>6</v>
      </c>
      <c r="M1726" s="48">
        <v>119</v>
      </c>
    </row>
    <row r="1727" spans="9:13" ht="12.75">
      <c r="I1727" s="48">
        <v>4</v>
      </c>
      <c r="J1727" s="48">
        <v>2</v>
      </c>
      <c r="K1727" s="48">
        <v>2</v>
      </c>
      <c r="M1727" s="48">
        <v>69</v>
      </c>
    </row>
    <row r="1728" spans="9:13" ht="12.75">
      <c r="I1728" s="48">
        <v>5</v>
      </c>
      <c r="K1728" s="48">
        <v>4</v>
      </c>
      <c r="M1728" s="48">
        <v>96</v>
      </c>
    </row>
    <row r="1729" spans="9:13" ht="12.75">
      <c r="I1729" s="48">
        <v>6</v>
      </c>
      <c r="K1729" s="48">
        <v>6</v>
      </c>
      <c r="M1729" s="48">
        <v>102</v>
      </c>
    </row>
    <row r="1730" spans="9:13" ht="12.75">
      <c r="I1730" s="48">
        <v>7</v>
      </c>
      <c r="K1730" s="48">
        <v>8</v>
      </c>
      <c r="M1730" s="48">
        <v>114</v>
      </c>
    </row>
    <row r="1731" ht="12.75">
      <c r="I1731" s="48">
        <v>8</v>
      </c>
    </row>
    <row r="1732" ht="12.75">
      <c r="I1732" s="48">
        <v>9</v>
      </c>
    </row>
    <row r="1733" ht="12.75">
      <c r="I1733" s="48">
        <v>10</v>
      </c>
    </row>
    <row r="1734" ht="12.75">
      <c r="I1734" s="48">
        <v>11</v>
      </c>
    </row>
    <row r="1735" ht="12.75">
      <c r="I1735" s="48">
        <v>12</v>
      </c>
    </row>
    <row r="1736" ht="12.75">
      <c r="I1736" s="48">
        <v>13</v>
      </c>
    </row>
    <row r="1737" ht="12.75">
      <c r="I1737" s="48">
        <v>14</v>
      </c>
    </row>
    <row r="1738" ht="12.75">
      <c r="I1738" s="48">
        <v>15</v>
      </c>
    </row>
    <row r="1739" ht="12.75">
      <c r="I1739" s="48">
        <v>16</v>
      </c>
    </row>
    <row r="1740" ht="12.75">
      <c r="I1740" s="48">
        <v>17</v>
      </c>
    </row>
    <row r="1741" ht="12.75">
      <c r="I1741" s="48">
        <v>18</v>
      </c>
    </row>
    <row r="1742" ht="12.75">
      <c r="I1742" s="48">
        <v>19</v>
      </c>
    </row>
    <row r="1743" ht="12.75">
      <c r="I1743" s="48">
        <v>20</v>
      </c>
    </row>
    <row r="1744" spans="9:10" ht="12.75">
      <c r="I1744" s="48">
        <v>1</v>
      </c>
      <c r="J1744" s="48" t="s">
        <v>591</v>
      </c>
    </row>
    <row r="1745" spans="9:13" ht="12.75">
      <c r="I1745" s="48">
        <v>2</v>
      </c>
      <c r="J1745" s="48">
        <v>1</v>
      </c>
      <c r="K1745" s="48">
        <v>6</v>
      </c>
      <c r="M1745" s="48">
        <v>150</v>
      </c>
    </row>
    <row r="1746" spans="9:13" ht="12.75">
      <c r="I1746" s="48">
        <v>3</v>
      </c>
      <c r="K1746" s="48">
        <v>8</v>
      </c>
      <c r="M1746" s="48">
        <v>159</v>
      </c>
    </row>
    <row r="1747" spans="9:13" ht="12.75">
      <c r="I1747" s="48">
        <v>4</v>
      </c>
      <c r="K1747" s="48">
        <v>12</v>
      </c>
      <c r="M1747" s="48">
        <v>170</v>
      </c>
    </row>
    <row r="1748" spans="9:13" ht="12.75">
      <c r="I1748" s="48">
        <v>5</v>
      </c>
      <c r="J1748" s="48">
        <v>3</v>
      </c>
      <c r="K1748" s="48">
        <v>4</v>
      </c>
      <c r="M1748" s="48">
        <v>75</v>
      </c>
    </row>
    <row r="1749" spans="9:13" ht="12.75">
      <c r="I1749" s="48">
        <v>6</v>
      </c>
      <c r="K1749" s="48">
        <v>6</v>
      </c>
      <c r="M1749" s="48">
        <v>88.5</v>
      </c>
    </row>
    <row r="1750" spans="9:13" ht="12.75">
      <c r="I1750" s="48">
        <v>7</v>
      </c>
      <c r="K1750" s="48">
        <v>8</v>
      </c>
      <c r="M1750" s="48">
        <v>98</v>
      </c>
    </row>
    <row r="1751" ht="12.75">
      <c r="I1751" s="48">
        <v>8</v>
      </c>
    </row>
    <row r="1752" ht="12.75">
      <c r="I1752" s="48">
        <v>9</v>
      </c>
    </row>
    <row r="1753" ht="12.75">
      <c r="I1753" s="48">
        <v>10</v>
      </c>
    </row>
    <row r="1754" ht="12.75">
      <c r="I1754" s="48">
        <v>11</v>
      </c>
    </row>
    <row r="1755" ht="12.75">
      <c r="I1755" s="48">
        <v>12</v>
      </c>
    </row>
    <row r="1756" ht="12.75">
      <c r="I1756" s="48">
        <v>13</v>
      </c>
    </row>
    <row r="1757" ht="12.75">
      <c r="I1757" s="48">
        <v>14</v>
      </c>
    </row>
    <row r="1758" ht="12.75">
      <c r="I1758" s="48">
        <v>15</v>
      </c>
    </row>
    <row r="1759" ht="12.75">
      <c r="I1759" s="48">
        <v>16</v>
      </c>
    </row>
    <row r="1760" ht="12.75">
      <c r="I1760" s="48">
        <v>17</v>
      </c>
    </row>
    <row r="1761" ht="12.75">
      <c r="I1761" s="48">
        <v>18</v>
      </c>
    </row>
    <row r="1762" ht="12.75">
      <c r="I1762" s="48">
        <v>19</v>
      </c>
    </row>
    <row r="1763" ht="12.75">
      <c r="I1763" s="48">
        <v>20</v>
      </c>
    </row>
    <row r="1764" spans="9:10" ht="12.75">
      <c r="I1764" s="48">
        <v>1</v>
      </c>
      <c r="J1764" s="48" t="s">
        <v>598</v>
      </c>
    </row>
    <row r="1765" spans="9:13" ht="12.75">
      <c r="I1765" s="48">
        <v>2</v>
      </c>
      <c r="J1765" s="48">
        <v>2</v>
      </c>
      <c r="K1765" s="48" t="s">
        <v>847</v>
      </c>
      <c r="M1765" s="48">
        <v>98</v>
      </c>
    </row>
    <row r="1766" spans="9:13" ht="12.75">
      <c r="I1766" s="48">
        <v>3</v>
      </c>
      <c r="K1766" s="48">
        <v>6</v>
      </c>
      <c r="M1766" s="48">
        <v>119</v>
      </c>
    </row>
    <row r="1767" spans="9:13" ht="12.75">
      <c r="I1767" s="48">
        <v>4</v>
      </c>
      <c r="K1767" s="48">
        <v>7</v>
      </c>
      <c r="M1767" s="48">
        <v>123</v>
      </c>
    </row>
    <row r="1768" spans="9:13" ht="12.75">
      <c r="I1768" s="48">
        <v>5</v>
      </c>
      <c r="K1768" s="48">
        <v>8</v>
      </c>
      <c r="M1768" s="48">
        <v>129</v>
      </c>
    </row>
    <row r="1769" spans="9:13" ht="12.75">
      <c r="I1769" s="48">
        <v>6</v>
      </c>
      <c r="K1769" s="48">
        <v>9</v>
      </c>
      <c r="M1769" s="48">
        <v>135</v>
      </c>
    </row>
    <row r="1770" spans="9:13" ht="12.75">
      <c r="I1770" s="48">
        <v>7</v>
      </c>
      <c r="K1770" s="48">
        <v>10</v>
      </c>
      <c r="M1770" s="48">
        <v>140</v>
      </c>
    </row>
    <row r="1771" spans="9:13" ht="12.75">
      <c r="I1771" s="48">
        <v>8</v>
      </c>
      <c r="K1771" s="48">
        <v>11</v>
      </c>
      <c r="M1771" s="48">
        <v>145</v>
      </c>
    </row>
    <row r="1772" spans="9:13" ht="12.75">
      <c r="I1772" s="48">
        <v>9</v>
      </c>
      <c r="K1772" s="48">
        <v>12</v>
      </c>
      <c r="M1772" s="48">
        <v>149</v>
      </c>
    </row>
    <row r="1773" spans="9:13" ht="12.75">
      <c r="I1773" s="48">
        <v>10</v>
      </c>
      <c r="J1773" s="48">
        <v>4</v>
      </c>
      <c r="K1773" s="48">
        <v>4</v>
      </c>
      <c r="M1773" s="48">
        <v>65</v>
      </c>
    </row>
    <row r="1774" spans="9:13" ht="12.75">
      <c r="I1774" s="48">
        <v>11</v>
      </c>
      <c r="K1774" s="48">
        <v>5</v>
      </c>
      <c r="M1774" s="48">
        <v>73</v>
      </c>
    </row>
    <row r="1775" spans="9:13" ht="12.75">
      <c r="I1775" s="48">
        <v>12</v>
      </c>
      <c r="K1775" s="48">
        <v>6</v>
      </c>
      <c r="M1775" s="48">
        <v>77.5</v>
      </c>
    </row>
    <row r="1776" spans="9:13" ht="12.75">
      <c r="I1776" s="48">
        <v>13</v>
      </c>
      <c r="K1776" s="48">
        <v>8</v>
      </c>
      <c r="M1776" s="48">
        <v>94</v>
      </c>
    </row>
    <row r="1777" ht="12.75">
      <c r="I1777" s="48">
        <v>14</v>
      </c>
    </row>
    <row r="1778" ht="12.75">
      <c r="I1778" s="48">
        <v>15</v>
      </c>
    </row>
    <row r="1779" ht="12.75">
      <c r="I1779" s="48">
        <v>16</v>
      </c>
    </row>
    <row r="1780" ht="12.75">
      <c r="I1780" s="48">
        <v>17</v>
      </c>
    </row>
    <row r="1781" ht="12.75">
      <c r="I1781" s="48">
        <v>18</v>
      </c>
    </row>
    <row r="1782" ht="12.75">
      <c r="I1782" s="48">
        <v>19</v>
      </c>
    </row>
    <row r="1783" ht="12.75">
      <c r="I1783" s="48">
        <v>20</v>
      </c>
    </row>
    <row r="1784" spans="9:10" ht="12.75">
      <c r="I1784" s="48">
        <v>1</v>
      </c>
      <c r="J1784" s="48" t="s">
        <v>639</v>
      </c>
    </row>
    <row r="1785" spans="9:13" ht="12.75">
      <c r="I1785" s="48">
        <v>2</v>
      </c>
      <c r="J1785" s="48">
        <v>3</v>
      </c>
      <c r="K1785" s="48">
        <v>5</v>
      </c>
      <c r="M1785" s="48">
        <v>96</v>
      </c>
    </row>
    <row r="1786" spans="9:13" ht="12.75">
      <c r="I1786" s="48">
        <v>3</v>
      </c>
      <c r="K1786" s="48">
        <v>6</v>
      </c>
      <c r="M1786" s="48">
        <v>103</v>
      </c>
    </row>
    <row r="1787" spans="9:13" ht="12.75">
      <c r="I1787" s="48">
        <v>4</v>
      </c>
      <c r="K1787" s="48">
        <v>8</v>
      </c>
      <c r="M1787" s="48">
        <v>117</v>
      </c>
    </row>
    <row r="1788" spans="9:13" ht="12.75">
      <c r="I1788" s="48">
        <v>5</v>
      </c>
      <c r="J1788" s="48">
        <v>5</v>
      </c>
      <c r="K1788" s="48">
        <v>6</v>
      </c>
      <c r="M1788" s="48">
        <v>76</v>
      </c>
    </row>
    <row r="1789" ht="12.75">
      <c r="I1789" s="48">
        <v>6</v>
      </c>
    </row>
    <row r="1790" ht="12.75">
      <c r="I1790" s="48">
        <v>7</v>
      </c>
    </row>
    <row r="1791" ht="12.75">
      <c r="I1791" s="48">
        <v>8</v>
      </c>
    </row>
    <row r="1792" ht="12.75">
      <c r="I1792" s="48">
        <v>9</v>
      </c>
    </row>
    <row r="1793" ht="12.75">
      <c r="I1793" s="48">
        <v>10</v>
      </c>
    </row>
    <row r="1794" ht="12.75">
      <c r="I1794" s="48">
        <v>11</v>
      </c>
    </row>
    <row r="1795" ht="12.75">
      <c r="I1795" s="48">
        <v>12</v>
      </c>
    </row>
    <row r="1796" ht="12.75">
      <c r="I1796" s="48">
        <v>13</v>
      </c>
    </row>
    <row r="1797" ht="12.75">
      <c r="I1797" s="48">
        <v>14</v>
      </c>
    </row>
    <row r="1798" ht="12.75">
      <c r="I1798" s="48">
        <v>15</v>
      </c>
    </row>
    <row r="1799" ht="12.75">
      <c r="I1799" s="48">
        <v>16</v>
      </c>
    </row>
    <row r="1800" ht="12.75">
      <c r="I1800" s="48">
        <v>17</v>
      </c>
    </row>
    <row r="1801" ht="12.75">
      <c r="I1801" s="48">
        <v>18</v>
      </c>
    </row>
    <row r="1802" ht="12.75">
      <c r="I1802" s="48">
        <v>19</v>
      </c>
    </row>
    <row r="1803" ht="12.75">
      <c r="I1803" s="48">
        <v>20</v>
      </c>
    </row>
    <row r="1804" spans="9:10" ht="12.75">
      <c r="I1804" s="48">
        <v>1</v>
      </c>
      <c r="J1804" s="48" t="s">
        <v>699</v>
      </c>
    </row>
    <row r="1805" spans="9:13" ht="12.75">
      <c r="I1805" s="48">
        <v>2</v>
      </c>
      <c r="J1805" s="48">
        <v>4</v>
      </c>
      <c r="K1805" s="48">
        <v>6</v>
      </c>
      <c r="M1805" s="48">
        <v>94</v>
      </c>
    </row>
    <row r="1806" spans="9:13" ht="12.75">
      <c r="I1806" s="48">
        <v>3</v>
      </c>
      <c r="K1806" s="48">
        <v>8</v>
      </c>
      <c r="M1806" s="48">
        <v>108</v>
      </c>
    </row>
    <row r="1807" spans="9:13" ht="12.75">
      <c r="I1807" s="48">
        <v>4</v>
      </c>
      <c r="J1807" s="48">
        <v>6</v>
      </c>
      <c r="K1807" s="48">
        <v>6</v>
      </c>
      <c r="M1807" s="48">
        <v>67</v>
      </c>
    </row>
    <row r="1808" ht="12.75">
      <c r="I1808" s="48">
        <v>5</v>
      </c>
    </row>
    <row r="1809" ht="12.75">
      <c r="I1809" s="48">
        <v>6</v>
      </c>
    </row>
    <row r="1810" ht="12.75">
      <c r="I1810" s="48">
        <v>7</v>
      </c>
    </row>
    <row r="1811" ht="12.75">
      <c r="I1811" s="48">
        <v>8</v>
      </c>
    </row>
    <row r="1812" ht="12.75">
      <c r="I1812" s="48">
        <v>9</v>
      </c>
    </row>
    <row r="1813" ht="12.75">
      <c r="I1813" s="48">
        <v>10</v>
      </c>
    </row>
    <row r="1814" ht="12.75">
      <c r="I1814" s="48">
        <v>11</v>
      </c>
    </row>
    <row r="1815" ht="12.75">
      <c r="I1815" s="48">
        <v>12</v>
      </c>
    </row>
    <row r="1816" ht="12.75">
      <c r="I1816" s="48">
        <v>13</v>
      </c>
    </row>
    <row r="1817" ht="12.75">
      <c r="I1817" s="48">
        <v>14</v>
      </c>
    </row>
    <row r="1818" ht="12.75">
      <c r="I1818" s="48">
        <v>15</v>
      </c>
    </row>
    <row r="1819" ht="12.75">
      <c r="I1819" s="48">
        <v>16</v>
      </c>
    </row>
    <row r="1820" ht="12.75">
      <c r="I1820" s="48">
        <v>17</v>
      </c>
    </row>
    <row r="1821" ht="12.75">
      <c r="I1821" s="48">
        <v>18</v>
      </c>
    </row>
    <row r="1822" ht="12.75">
      <c r="I1822" s="48">
        <v>19</v>
      </c>
    </row>
    <row r="1823" ht="12.75">
      <c r="I1823" s="48">
        <v>20</v>
      </c>
    </row>
    <row r="1824" spans="9:10" ht="12.75">
      <c r="I1824" s="48">
        <v>1</v>
      </c>
      <c r="J1824" s="48" t="s">
        <v>700</v>
      </c>
    </row>
    <row r="1825" spans="9:13" ht="12.75">
      <c r="I1825" s="48">
        <v>2</v>
      </c>
      <c r="J1825" s="48">
        <v>7</v>
      </c>
      <c r="K1825" s="48">
        <v>6</v>
      </c>
      <c r="M1825" s="48">
        <v>62</v>
      </c>
    </row>
    <row r="1826" ht="12.75">
      <c r="I1826" s="48">
        <v>3</v>
      </c>
    </row>
    <row r="1827" ht="12.75">
      <c r="I1827" s="48">
        <v>4</v>
      </c>
    </row>
    <row r="1828" ht="12.75">
      <c r="I1828" s="48">
        <v>5</v>
      </c>
    </row>
    <row r="1829" ht="12.75">
      <c r="I1829" s="48">
        <v>6</v>
      </c>
    </row>
    <row r="1830" ht="12.75">
      <c r="I1830" s="48">
        <v>7</v>
      </c>
    </row>
    <row r="1831" ht="12.75">
      <c r="I1831" s="48">
        <v>8</v>
      </c>
    </row>
    <row r="1832" ht="12.75">
      <c r="I1832" s="48">
        <v>9</v>
      </c>
    </row>
    <row r="1833" ht="12.75">
      <c r="I1833" s="48">
        <v>10</v>
      </c>
    </row>
    <row r="1834" ht="12.75">
      <c r="I1834" s="48">
        <v>11</v>
      </c>
    </row>
    <row r="1835" ht="12.75">
      <c r="I1835" s="48">
        <v>12</v>
      </c>
    </row>
    <row r="1836" ht="12.75">
      <c r="I1836" s="48">
        <v>13</v>
      </c>
    </row>
    <row r="1837" ht="12.75">
      <c r="I1837" s="48">
        <v>14</v>
      </c>
    </row>
    <row r="1838" ht="12.75">
      <c r="I1838" s="48">
        <v>15</v>
      </c>
    </row>
    <row r="1839" ht="12.75">
      <c r="I1839" s="48">
        <v>16</v>
      </c>
    </row>
    <row r="1840" ht="12.75">
      <c r="I1840" s="48">
        <v>17</v>
      </c>
    </row>
    <row r="1841" ht="12.75">
      <c r="I1841" s="48">
        <v>18</v>
      </c>
    </row>
    <row r="1842" ht="12.75">
      <c r="I1842" s="48">
        <v>19</v>
      </c>
    </row>
    <row r="1843" ht="12.75">
      <c r="I1843" s="48">
        <v>20</v>
      </c>
    </row>
    <row r="1844" spans="9:10" ht="12.75">
      <c r="I1844" s="48">
        <v>1</v>
      </c>
      <c r="J1844" s="48" t="s">
        <v>701</v>
      </c>
    </row>
    <row r="1845" ht="12.75">
      <c r="I1845" s="48">
        <v>2</v>
      </c>
    </row>
    <row r="1846" ht="12.75">
      <c r="I1846" s="48">
        <v>3</v>
      </c>
    </row>
    <row r="1847" ht="12.75">
      <c r="I1847" s="48">
        <v>4</v>
      </c>
    </row>
    <row r="1848" ht="12.75">
      <c r="I1848" s="48">
        <v>5</v>
      </c>
    </row>
    <row r="1849" ht="12.75">
      <c r="I1849" s="48">
        <v>6</v>
      </c>
    </row>
    <row r="1850" ht="12.75">
      <c r="I1850" s="48">
        <v>7</v>
      </c>
    </row>
    <row r="1851" ht="12.75">
      <c r="I1851" s="48">
        <v>8</v>
      </c>
    </row>
    <row r="1852" ht="12.75">
      <c r="I1852" s="48">
        <v>9</v>
      </c>
    </row>
    <row r="1853" ht="12.75">
      <c r="I1853" s="48">
        <v>10</v>
      </c>
    </row>
    <row r="1854" ht="12.75">
      <c r="I1854" s="48">
        <v>11</v>
      </c>
    </row>
    <row r="1855" ht="12.75">
      <c r="I1855" s="48">
        <v>12</v>
      </c>
    </row>
    <row r="1856" ht="12.75">
      <c r="I1856" s="48">
        <v>13</v>
      </c>
    </row>
    <row r="1857" ht="12.75">
      <c r="I1857" s="48">
        <v>14</v>
      </c>
    </row>
    <row r="1858" ht="12.75">
      <c r="I1858" s="48">
        <v>15</v>
      </c>
    </row>
    <row r="1859" ht="12.75">
      <c r="I1859" s="48">
        <v>16</v>
      </c>
    </row>
    <row r="1860" ht="12.75">
      <c r="I1860" s="48">
        <v>17</v>
      </c>
    </row>
    <row r="1861" ht="12.75">
      <c r="I1861" s="48">
        <v>18</v>
      </c>
    </row>
    <row r="1862" ht="12.75">
      <c r="I1862" s="48">
        <v>19</v>
      </c>
    </row>
    <row r="1863" ht="12.75">
      <c r="I1863" s="48">
        <v>20</v>
      </c>
    </row>
    <row r="1864" spans="9:10" ht="12.75">
      <c r="I1864" s="48">
        <v>1</v>
      </c>
      <c r="J1864" s="48" t="s">
        <v>702</v>
      </c>
    </row>
    <row r="1865" spans="9:13" ht="12.75">
      <c r="I1865" s="48">
        <v>2</v>
      </c>
      <c r="J1865" s="48">
        <v>1</v>
      </c>
      <c r="K1865" s="48">
        <v>6</v>
      </c>
      <c r="M1865" s="48">
        <v>180</v>
      </c>
    </row>
    <row r="1866" ht="12.75">
      <c r="I1866" s="48">
        <v>3</v>
      </c>
    </row>
    <row r="1867" ht="12.75">
      <c r="I1867" s="48">
        <v>4</v>
      </c>
    </row>
    <row r="1868" ht="12.75">
      <c r="I1868" s="48">
        <v>5</v>
      </c>
    </row>
    <row r="1869" ht="12.75">
      <c r="I1869" s="48">
        <v>6</v>
      </c>
    </row>
    <row r="1870" ht="12.75">
      <c r="I1870" s="48">
        <v>7</v>
      </c>
    </row>
    <row r="1871" ht="12.75">
      <c r="I1871" s="48">
        <v>8</v>
      </c>
    </row>
    <row r="1872" ht="12.75">
      <c r="I1872" s="48">
        <v>9</v>
      </c>
    </row>
    <row r="1873" ht="12.75">
      <c r="I1873" s="48">
        <v>10</v>
      </c>
    </row>
    <row r="1874" ht="12.75">
      <c r="I1874" s="48">
        <v>11</v>
      </c>
    </row>
    <row r="1875" ht="12.75">
      <c r="I1875" s="48">
        <v>12</v>
      </c>
    </row>
    <row r="1876" ht="12.75">
      <c r="I1876" s="48">
        <v>13</v>
      </c>
    </row>
    <row r="1877" ht="12.75">
      <c r="I1877" s="48">
        <v>14</v>
      </c>
    </row>
    <row r="1878" ht="12.75">
      <c r="I1878" s="48">
        <v>15</v>
      </c>
    </row>
    <row r="1879" ht="12.75">
      <c r="I1879" s="48">
        <v>16</v>
      </c>
    </row>
    <row r="1880" ht="12.75">
      <c r="I1880" s="48">
        <v>17</v>
      </c>
    </row>
    <row r="1881" ht="12.75">
      <c r="I1881" s="48">
        <v>18</v>
      </c>
    </row>
    <row r="1882" ht="12.75">
      <c r="I1882" s="48">
        <v>19</v>
      </c>
    </row>
    <row r="1883" ht="12.75">
      <c r="I1883" s="48">
        <v>20</v>
      </c>
    </row>
    <row r="1884" spans="9:10" ht="12.75">
      <c r="I1884" s="48">
        <v>1</v>
      </c>
      <c r="J1884" s="48" t="s">
        <v>703</v>
      </c>
    </row>
    <row r="1885" spans="9:13" ht="12.75">
      <c r="I1885" s="48">
        <v>2</v>
      </c>
      <c r="J1885" s="48">
        <v>2</v>
      </c>
      <c r="K1885" s="48">
        <v>8</v>
      </c>
      <c r="M1885" s="48">
        <v>148</v>
      </c>
    </row>
    <row r="1886" spans="9:13" ht="12.75">
      <c r="I1886" s="48">
        <v>3</v>
      </c>
      <c r="K1886" s="48">
        <v>12</v>
      </c>
      <c r="M1886" s="48">
        <v>170</v>
      </c>
    </row>
    <row r="1887" ht="12.75">
      <c r="I1887" s="48">
        <v>4</v>
      </c>
    </row>
    <row r="1888" ht="12.75">
      <c r="I1888" s="48">
        <v>5</v>
      </c>
    </row>
    <row r="1889" ht="12.75">
      <c r="I1889" s="48">
        <v>6</v>
      </c>
    </row>
    <row r="1890" ht="12.75">
      <c r="I1890" s="48">
        <v>7</v>
      </c>
    </row>
    <row r="1891" ht="12.75">
      <c r="I1891" s="48">
        <v>8</v>
      </c>
    </row>
    <row r="1892" ht="12.75">
      <c r="I1892" s="48">
        <v>9</v>
      </c>
    </row>
    <row r="1893" ht="12.75">
      <c r="I1893" s="48">
        <v>10</v>
      </c>
    </row>
    <row r="1894" ht="12.75">
      <c r="I1894" s="48">
        <v>11</v>
      </c>
    </row>
    <row r="1895" ht="12.75">
      <c r="I1895" s="48">
        <v>12</v>
      </c>
    </row>
    <row r="1896" ht="12.75">
      <c r="I1896" s="48">
        <v>13</v>
      </c>
    </row>
    <row r="1897" ht="12.75">
      <c r="I1897" s="48">
        <v>14</v>
      </c>
    </row>
    <row r="1898" ht="12.75">
      <c r="I1898" s="48">
        <v>15</v>
      </c>
    </row>
    <row r="1899" ht="12.75">
      <c r="I1899" s="48">
        <v>16</v>
      </c>
    </row>
    <row r="1900" ht="12.75">
      <c r="I1900" s="48">
        <v>17</v>
      </c>
    </row>
    <row r="1901" ht="12.75">
      <c r="I1901" s="48">
        <v>18</v>
      </c>
    </row>
    <row r="1902" ht="12.75">
      <c r="I1902" s="48">
        <v>19</v>
      </c>
    </row>
    <row r="1903" ht="12.75">
      <c r="I1903" s="48">
        <v>20</v>
      </c>
    </row>
    <row r="1904" spans="9:10" ht="12.75">
      <c r="I1904" s="48">
        <v>1</v>
      </c>
      <c r="J1904" s="48" t="s">
        <v>704</v>
      </c>
    </row>
    <row r="1905" spans="9:13" ht="12.75">
      <c r="I1905" s="48">
        <v>2</v>
      </c>
      <c r="J1905" s="48">
        <v>3</v>
      </c>
      <c r="K1905" s="48">
        <v>6</v>
      </c>
      <c r="M1905" s="48">
        <v>112</v>
      </c>
    </row>
    <row r="1906" ht="12.75">
      <c r="I1906" s="48">
        <v>3</v>
      </c>
    </row>
    <row r="1907" ht="12.75">
      <c r="I1907" s="48">
        <v>4</v>
      </c>
    </row>
    <row r="1908" ht="12.75">
      <c r="I1908" s="48">
        <v>5</v>
      </c>
    </row>
    <row r="1909" ht="12.75">
      <c r="I1909" s="48">
        <v>6</v>
      </c>
    </row>
    <row r="1910" ht="12.75">
      <c r="I1910" s="48">
        <v>7</v>
      </c>
    </row>
    <row r="1911" ht="12.75">
      <c r="I1911" s="48">
        <v>8</v>
      </c>
    </row>
    <row r="1912" ht="12.75">
      <c r="I1912" s="48">
        <v>9</v>
      </c>
    </row>
    <row r="1913" ht="12.75">
      <c r="I1913" s="48">
        <v>10</v>
      </c>
    </row>
    <row r="1914" ht="12.75">
      <c r="I1914" s="48">
        <v>11</v>
      </c>
    </row>
    <row r="1915" ht="12.75">
      <c r="I1915" s="48">
        <v>12</v>
      </c>
    </row>
    <row r="1916" ht="12.75">
      <c r="I1916" s="48">
        <v>13</v>
      </c>
    </row>
    <row r="1917" ht="12.75">
      <c r="I1917" s="48">
        <v>14</v>
      </c>
    </row>
    <row r="1918" ht="12.75">
      <c r="I1918" s="48">
        <v>15</v>
      </c>
    </row>
    <row r="1919" ht="12.75">
      <c r="I1919" s="48">
        <v>16</v>
      </c>
    </row>
    <row r="1920" ht="12.75">
      <c r="I1920" s="48">
        <v>17</v>
      </c>
    </row>
    <row r="1921" ht="12.75">
      <c r="I1921" s="48">
        <v>18</v>
      </c>
    </row>
    <row r="1922" ht="12.75">
      <c r="I1922" s="48">
        <v>19</v>
      </c>
    </row>
    <row r="1923" ht="12.75">
      <c r="I1923" s="48">
        <v>20</v>
      </c>
    </row>
    <row r="1924" spans="9:10" ht="12.75">
      <c r="I1924" s="48">
        <v>1</v>
      </c>
      <c r="J1924" s="48" t="s">
        <v>628</v>
      </c>
    </row>
    <row r="1925" spans="9:13" ht="12.75">
      <c r="I1925" s="48">
        <v>2</v>
      </c>
      <c r="J1925" s="48">
        <v>4</v>
      </c>
      <c r="K1925" s="48">
        <v>6</v>
      </c>
      <c r="M1925" s="48">
        <v>94</v>
      </c>
    </row>
    <row r="1926" spans="9:13" ht="12.75">
      <c r="I1926" s="48">
        <v>3</v>
      </c>
      <c r="K1926" s="48">
        <v>8</v>
      </c>
      <c r="M1926" s="48">
        <v>105</v>
      </c>
    </row>
    <row r="1927" spans="9:13" ht="12.75">
      <c r="I1927" s="48">
        <v>4</v>
      </c>
      <c r="K1927" s="48">
        <v>9</v>
      </c>
      <c r="M1927" s="48">
        <v>109</v>
      </c>
    </row>
    <row r="1928" spans="9:13" ht="12.75">
      <c r="I1928" s="48">
        <v>5</v>
      </c>
      <c r="K1928" s="48">
        <v>10</v>
      </c>
      <c r="M1928" s="48">
        <v>113</v>
      </c>
    </row>
    <row r="1929" spans="9:13" ht="12.75">
      <c r="I1929" s="48">
        <v>6</v>
      </c>
      <c r="K1929" s="48">
        <v>11</v>
      </c>
      <c r="M1929" s="48">
        <v>118</v>
      </c>
    </row>
    <row r="1930" spans="9:13" ht="12.75">
      <c r="I1930" s="48">
        <v>7</v>
      </c>
      <c r="K1930" s="48">
        <v>12</v>
      </c>
      <c r="M1930" s="48">
        <v>121</v>
      </c>
    </row>
    <row r="1931" ht="12.75">
      <c r="I1931" s="48">
        <v>8</v>
      </c>
    </row>
    <row r="1932" ht="12.75">
      <c r="I1932" s="48">
        <v>9</v>
      </c>
    </row>
    <row r="1933" ht="12.75">
      <c r="I1933" s="48">
        <v>10</v>
      </c>
    </row>
    <row r="1934" ht="12.75">
      <c r="I1934" s="48">
        <v>11</v>
      </c>
    </row>
    <row r="1935" ht="12.75">
      <c r="I1935" s="48">
        <v>12</v>
      </c>
    </row>
    <row r="1936" ht="12.75">
      <c r="I1936" s="48">
        <v>13</v>
      </c>
    </row>
    <row r="1937" ht="12.75">
      <c r="I1937" s="48">
        <v>14</v>
      </c>
    </row>
    <row r="1938" ht="12.75">
      <c r="I1938" s="48">
        <v>15</v>
      </c>
    </row>
    <row r="1939" ht="12.75">
      <c r="I1939" s="48">
        <v>16</v>
      </c>
    </row>
    <row r="1940" ht="12.75">
      <c r="I1940" s="48">
        <v>17</v>
      </c>
    </row>
    <row r="1941" ht="12.75">
      <c r="I1941" s="48">
        <v>18</v>
      </c>
    </row>
    <row r="1942" ht="12.75">
      <c r="I1942" s="48">
        <v>19</v>
      </c>
    </row>
    <row r="1943" ht="12.75">
      <c r="I1943" s="48">
        <v>20</v>
      </c>
    </row>
    <row r="1944" spans="9:10" ht="12.75">
      <c r="I1944" s="48">
        <v>1</v>
      </c>
      <c r="J1944" s="48" t="s">
        <v>617</v>
      </c>
    </row>
    <row r="1945" spans="9:13" ht="12.75">
      <c r="I1945" s="48">
        <v>2</v>
      </c>
      <c r="J1945" s="48">
        <v>3</v>
      </c>
      <c r="K1945" s="48">
        <v>6</v>
      </c>
      <c r="M1945" s="48">
        <v>104</v>
      </c>
    </row>
    <row r="1946" spans="9:13" ht="12.75">
      <c r="I1946" s="48">
        <v>3</v>
      </c>
      <c r="J1946" s="48">
        <v>4</v>
      </c>
      <c r="K1946" s="48">
        <v>6</v>
      </c>
      <c r="M1946" s="48">
        <v>90</v>
      </c>
    </row>
    <row r="1947" spans="9:13" ht="12.75">
      <c r="I1947" s="48">
        <v>4</v>
      </c>
      <c r="K1947" s="48">
        <v>8</v>
      </c>
      <c r="M1947" s="48">
        <v>101</v>
      </c>
    </row>
    <row r="1948" spans="9:13" ht="12.75">
      <c r="I1948" s="48">
        <v>5</v>
      </c>
      <c r="J1948" s="48">
        <v>5</v>
      </c>
      <c r="K1948" s="48">
        <v>6</v>
      </c>
      <c r="M1948" s="48">
        <v>78</v>
      </c>
    </row>
    <row r="1949" spans="9:13" ht="12.75">
      <c r="I1949" s="48">
        <v>6</v>
      </c>
      <c r="K1949" s="48">
        <v>8</v>
      </c>
      <c r="M1949" s="48">
        <v>91</v>
      </c>
    </row>
    <row r="1950" spans="9:13" ht="12.75">
      <c r="I1950" s="48">
        <v>7</v>
      </c>
      <c r="K1950" s="48">
        <v>9</v>
      </c>
      <c r="M1950" s="48">
        <v>95</v>
      </c>
    </row>
    <row r="1951" ht="12.75">
      <c r="I1951" s="48">
        <v>8</v>
      </c>
    </row>
    <row r="1952" ht="12.75">
      <c r="I1952" s="48">
        <v>9</v>
      </c>
    </row>
    <row r="1953" ht="12.75">
      <c r="I1953" s="48">
        <v>10</v>
      </c>
    </row>
    <row r="1954" ht="12.75">
      <c r="I1954" s="48">
        <v>11</v>
      </c>
    </row>
    <row r="1955" ht="12.75">
      <c r="I1955" s="48">
        <v>12</v>
      </c>
    </row>
    <row r="1956" ht="12.75">
      <c r="I1956" s="48">
        <v>13</v>
      </c>
    </row>
    <row r="1957" ht="12.75">
      <c r="I1957" s="48">
        <v>14</v>
      </c>
    </row>
    <row r="1958" ht="12.75">
      <c r="I1958" s="48">
        <v>15</v>
      </c>
    </row>
    <row r="1959" ht="12.75">
      <c r="I1959" s="48">
        <v>16</v>
      </c>
    </row>
    <row r="1960" ht="12.75">
      <c r="I1960" s="48">
        <v>17</v>
      </c>
    </row>
    <row r="1961" ht="12.75">
      <c r="I1961" s="48">
        <v>18</v>
      </c>
    </row>
    <row r="1962" ht="12.75">
      <c r="I1962" s="48">
        <v>19</v>
      </c>
    </row>
    <row r="1963" ht="12.75">
      <c r="I1963" s="48">
        <v>20</v>
      </c>
    </row>
    <row r="1964" spans="9:10" ht="12.75">
      <c r="I1964" s="48">
        <v>1</v>
      </c>
      <c r="J1964" s="48" t="s">
        <v>629</v>
      </c>
    </row>
    <row r="1965" spans="9:13" ht="12.75">
      <c r="I1965" s="48">
        <v>2</v>
      </c>
      <c r="J1965" s="48">
        <v>3</v>
      </c>
      <c r="K1965" s="48">
        <v>6</v>
      </c>
      <c r="M1965" s="48">
        <v>102.5</v>
      </c>
    </row>
    <row r="1966" spans="9:13" ht="12.75">
      <c r="I1966" s="48">
        <v>3</v>
      </c>
      <c r="J1966" s="48">
        <v>4</v>
      </c>
      <c r="K1966" s="48">
        <v>6</v>
      </c>
      <c r="M1966" s="48">
        <v>89</v>
      </c>
    </row>
    <row r="1967" spans="9:13" ht="12.75">
      <c r="I1967" s="48">
        <v>4</v>
      </c>
      <c r="K1967" s="48">
        <v>7</v>
      </c>
      <c r="M1967" s="48">
        <v>95</v>
      </c>
    </row>
    <row r="1968" spans="9:13" ht="12.75">
      <c r="I1968" s="48">
        <v>5</v>
      </c>
      <c r="K1968" s="48">
        <v>8</v>
      </c>
      <c r="M1968" s="48">
        <v>100</v>
      </c>
    </row>
    <row r="1969" spans="9:13" ht="12.75">
      <c r="I1969" s="48">
        <v>6</v>
      </c>
      <c r="K1969" s="48">
        <v>9</v>
      </c>
      <c r="M1969" s="48">
        <v>105</v>
      </c>
    </row>
    <row r="1970" spans="9:13" ht="12.75">
      <c r="I1970" s="48">
        <v>7</v>
      </c>
      <c r="K1970" s="48">
        <v>12</v>
      </c>
      <c r="M1970" s="48">
        <v>117</v>
      </c>
    </row>
    <row r="1971" spans="9:13" ht="12.75">
      <c r="I1971" s="48">
        <v>8</v>
      </c>
      <c r="J1971" s="48">
        <v>5</v>
      </c>
      <c r="K1971" s="48">
        <v>6</v>
      </c>
      <c r="M1971" s="48">
        <v>76</v>
      </c>
    </row>
    <row r="1972" spans="9:13" ht="12.75">
      <c r="I1972" s="48">
        <v>9</v>
      </c>
      <c r="K1972" s="48">
        <v>7</v>
      </c>
      <c r="M1972" s="48">
        <v>84</v>
      </c>
    </row>
    <row r="1973" spans="9:13" ht="12.75">
      <c r="I1973" s="48">
        <v>10</v>
      </c>
      <c r="J1973" s="48">
        <v>6</v>
      </c>
      <c r="K1973" s="48">
        <v>2</v>
      </c>
      <c r="M1973" s="48">
        <v>45</v>
      </c>
    </row>
    <row r="1974" spans="9:13" ht="12.75">
      <c r="I1974" s="48">
        <v>11</v>
      </c>
      <c r="K1974" s="48">
        <v>4</v>
      </c>
      <c r="M1974" s="48">
        <v>52</v>
      </c>
    </row>
    <row r="1975" spans="9:13" ht="12.75">
      <c r="I1975" s="48">
        <v>12</v>
      </c>
      <c r="K1975" s="48">
        <v>6</v>
      </c>
      <c r="M1975" s="48">
        <v>73</v>
      </c>
    </row>
    <row r="1976" spans="9:13" ht="12.75">
      <c r="I1976" s="48">
        <v>13</v>
      </c>
      <c r="K1976" s="48">
        <v>7</v>
      </c>
      <c r="M1976" s="48">
        <v>81</v>
      </c>
    </row>
    <row r="1977" spans="9:13" ht="12.75">
      <c r="I1977" s="48">
        <v>14</v>
      </c>
      <c r="K1977" s="48">
        <v>8</v>
      </c>
      <c r="M1977" s="48">
        <v>86</v>
      </c>
    </row>
    <row r="1978" ht="12.75">
      <c r="I1978" s="48">
        <v>15</v>
      </c>
    </row>
    <row r="1979" ht="12.75">
      <c r="I1979" s="48">
        <v>16</v>
      </c>
    </row>
    <row r="1980" ht="12.75">
      <c r="I1980" s="48">
        <v>17</v>
      </c>
    </row>
    <row r="1981" ht="12.75">
      <c r="I1981" s="48">
        <v>18</v>
      </c>
    </row>
    <row r="1982" ht="12.75">
      <c r="I1982" s="48">
        <v>19</v>
      </c>
    </row>
    <row r="1983" ht="12.75">
      <c r="I1983" s="48">
        <v>20</v>
      </c>
    </row>
    <row r="1984" spans="9:10" ht="12.75">
      <c r="I1984" s="48">
        <v>1</v>
      </c>
      <c r="J1984" s="48" t="s">
        <v>625</v>
      </c>
    </row>
    <row r="1985" spans="9:13" ht="12.75">
      <c r="I1985" s="48">
        <v>2</v>
      </c>
      <c r="J1985" s="48">
        <v>2</v>
      </c>
      <c r="K1985" s="48">
        <v>6</v>
      </c>
      <c r="M1985" s="48">
        <v>110</v>
      </c>
    </row>
    <row r="1986" spans="9:13" ht="12.75">
      <c r="I1986" s="48">
        <v>3</v>
      </c>
      <c r="J1986" s="48">
        <v>3</v>
      </c>
      <c r="K1986" s="48">
        <v>6</v>
      </c>
      <c r="M1986" s="48">
        <v>101</v>
      </c>
    </row>
    <row r="1987" spans="9:13" ht="12.75">
      <c r="I1987" s="48">
        <v>4</v>
      </c>
      <c r="J1987" s="48">
        <v>4</v>
      </c>
      <c r="K1987" s="48">
        <v>6</v>
      </c>
      <c r="M1987" s="48">
        <v>87</v>
      </c>
    </row>
    <row r="1988" spans="9:13" ht="12.75">
      <c r="I1988" s="48">
        <v>5</v>
      </c>
      <c r="K1988" s="48">
        <v>8</v>
      </c>
      <c r="M1988" s="48">
        <v>98</v>
      </c>
    </row>
    <row r="1989" spans="9:13" ht="12.75">
      <c r="I1989" s="48">
        <v>6</v>
      </c>
      <c r="J1989" s="48">
        <v>5</v>
      </c>
      <c r="K1989" s="48">
        <v>6</v>
      </c>
      <c r="M1989" s="48">
        <v>75</v>
      </c>
    </row>
    <row r="1990" spans="9:13" ht="12.75">
      <c r="I1990" s="48">
        <v>7</v>
      </c>
      <c r="J1990" s="48">
        <v>6</v>
      </c>
      <c r="K1990" s="48">
        <v>6</v>
      </c>
      <c r="M1990" s="48">
        <v>72</v>
      </c>
    </row>
    <row r="1991" spans="9:13" ht="12.75">
      <c r="I1991" s="48">
        <v>8</v>
      </c>
      <c r="J1991" s="48">
        <v>7</v>
      </c>
      <c r="K1991" s="48">
        <v>6</v>
      </c>
      <c r="M1991" s="48">
        <v>71</v>
      </c>
    </row>
    <row r="1992" ht="12.75">
      <c r="I1992" s="48">
        <v>9</v>
      </c>
    </row>
    <row r="1993" ht="12.75">
      <c r="I1993" s="48">
        <v>10</v>
      </c>
    </row>
    <row r="1994" ht="12.75">
      <c r="I1994" s="48">
        <v>11</v>
      </c>
    </row>
    <row r="1995" ht="12.75">
      <c r="I1995" s="48">
        <v>12</v>
      </c>
    </row>
    <row r="1996" ht="12.75">
      <c r="I1996" s="48">
        <v>13</v>
      </c>
    </row>
    <row r="1997" ht="12.75">
      <c r="I1997" s="48">
        <v>14</v>
      </c>
    </row>
    <row r="1998" ht="12.75">
      <c r="I1998" s="48">
        <v>15</v>
      </c>
    </row>
    <row r="1999" ht="12.75">
      <c r="I1999" s="48">
        <v>16</v>
      </c>
    </row>
    <row r="2000" ht="12.75">
      <c r="I2000" s="48">
        <v>17</v>
      </c>
    </row>
    <row r="2001" ht="12.75">
      <c r="I2001" s="48">
        <v>18</v>
      </c>
    </row>
    <row r="2002" ht="12.75">
      <c r="I2002" s="48">
        <v>19</v>
      </c>
    </row>
    <row r="2003" ht="12.75">
      <c r="I2003" s="48">
        <v>20</v>
      </c>
    </row>
    <row r="2004" spans="9:10" ht="12.75">
      <c r="I2004" s="48">
        <v>1</v>
      </c>
      <c r="J2004" s="48" t="s">
        <v>626</v>
      </c>
    </row>
    <row r="2005" spans="9:13" ht="12.75">
      <c r="I2005" s="48">
        <v>2</v>
      </c>
      <c r="J2005" s="48">
        <v>3</v>
      </c>
      <c r="K2005" s="48">
        <v>6</v>
      </c>
      <c r="M2005" s="48">
        <v>100</v>
      </c>
    </row>
    <row r="2006" spans="9:13" ht="12.75">
      <c r="I2006" s="48">
        <v>3</v>
      </c>
      <c r="J2006" s="48">
        <v>4</v>
      </c>
      <c r="K2006" s="48">
        <v>6</v>
      </c>
      <c r="M2006" s="48">
        <v>86</v>
      </c>
    </row>
    <row r="2007" spans="9:13" ht="12.75">
      <c r="I2007" s="48">
        <v>4</v>
      </c>
      <c r="K2007" s="48">
        <v>8</v>
      </c>
      <c r="M2007" s="48">
        <v>96</v>
      </c>
    </row>
    <row r="2008" spans="9:13" ht="12.75">
      <c r="I2008" s="48">
        <v>5</v>
      </c>
      <c r="J2008" s="48">
        <v>5</v>
      </c>
      <c r="K2008" s="48">
        <v>6</v>
      </c>
      <c r="M2008" s="48">
        <v>74</v>
      </c>
    </row>
    <row r="2009" spans="9:13" ht="12.75">
      <c r="I2009" s="48">
        <v>6</v>
      </c>
      <c r="J2009" s="48">
        <v>6</v>
      </c>
      <c r="K2009" s="48">
        <v>6</v>
      </c>
      <c r="M2009" s="48">
        <v>71</v>
      </c>
    </row>
    <row r="2010" ht="12.75">
      <c r="I2010" s="48">
        <v>7</v>
      </c>
    </row>
    <row r="2011" ht="12.75">
      <c r="I2011" s="48">
        <v>8</v>
      </c>
    </row>
    <row r="2012" ht="12.75">
      <c r="I2012" s="48">
        <v>9</v>
      </c>
    </row>
    <row r="2013" ht="12.75">
      <c r="I2013" s="48">
        <v>10</v>
      </c>
    </row>
    <row r="2014" ht="12.75">
      <c r="I2014" s="48">
        <v>11</v>
      </c>
    </row>
    <row r="2015" ht="12.75">
      <c r="I2015" s="48">
        <v>12</v>
      </c>
    </row>
    <row r="2016" ht="12.75">
      <c r="I2016" s="48">
        <v>13</v>
      </c>
    </row>
    <row r="2017" ht="12.75">
      <c r="I2017" s="48">
        <v>14</v>
      </c>
    </row>
    <row r="2018" ht="12.75">
      <c r="I2018" s="48">
        <v>15</v>
      </c>
    </row>
    <row r="2019" ht="12.75">
      <c r="I2019" s="48">
        <v>16</v>
      </c>
    </row>
    <row r="2020" ht="12.75">
      <c r="I2020" s="48">
        <v>17</v>
      </c>
    </row>
    <row r="2021" ht="12.75">
      <c r="I2021" s="48">
        <v>18</v>
      </c>
    </row>
    <row r="2022" ht="12.75">
      <c r="I2022" s="48">
        <v>19</v>
      </c>
    </row>
    <row r="2023" ht="12.75">
      <c r="I2023" s="48">
        <v>20</v>
      </c>
    </row>
    <row r="2024" spans="9:10" ht="12.75">
      <c r="I2024" s="48">
        <v>1</v>
      </c>
      <c r="J2024" s="48" t="s">
        <v>620</v>
      </c>
    </row>
    <row r="2025" spans="9:13" ht="12.75">
      <c r="I2025" s="48">
        <v>2</v>
      </c>
      <c r="J2025" s="48">
        <v>2</v>
      </c>
      <c r="K2025" s="48">
        <v>7</v>
      </c>
      <c r="M2025" s="48">
        <v>121</v>
      </c>
    </row>
    <row r="2026" spans="9:13" ht="12.75">
      <c r="I2026" s="48">
        <v>3</v>
      </c>
      <c r="K2026" s="48">
        <v>8</v>
      </c>
      <c r="M2026" s="48">
        <v>126</v>
      </c>
    </row>
    <row r="2027" spans="9:13" ht="12.75">
      <c r="I2027" s="48">
        <v>4</v>
      </c>
      <c r="K2027" s="48">
        <v>9</v>
      </c>
      <c r="M2027" s="48">
        <v>131</v>
      </c>
    </row>
    <row r="2028" spans="9:13" ht="12.75">
      <c r="I2028" s="48">
        <v>5</v>
      </c>
      <c r="J2028" s="48">
        <v>3</v>
      </c>
      <c r="K2028" s="48">
        <v>6</v>
      </c>
      <c r="M2028" s="48">
        <v>97.5</v>
      </c>
    </row>
    <row r="2029" spans="9:13" ht="12.75">
      <c r="I2029" s="48">
        <v>6</v>
      </c>
      <c r="K2029" s="48">
        <v>8</v>
      </c>
      <c r="M2029" s="48">
        <v>109</v>
      </c>
    </row>
    <row r="2030" spans="9:13" ht="12.75">
      <c r="I2030" s="48">
        <v>7</v>
      </c>
      <c r="J2030" s="48">
        <v>4</v>
      </c>
      <c r="K2030" s="48">
        <v>6</v>
      </c>
      <c r="M2030" s="48">
        <v>85</v>
      </c>
    </row>
    <row r="2031" spans="9:13" ht="12.75">
      <c r="I2031" s="48">
        <v>8</v>
      </c>
      <c r="K2031" s="48">
        <v>8</v>
      </c>
      <c r="M2031" s="48">
        <v>95</v>
      </c>
    </row>
    <row r="2032" ht="12.75">
      <c r="I2032" s="48">
        <v>9</v>
      </c>
    </row>
    <row r="2033" ht="12.75">
      <c r="I2033" s="48">
        <v>10</v>
      </c>
    </row>
    <row r="2034" ht="12.75">
      <c r="I2034" s="48">
        <v>11</v>
      </c>
    </row>
    <row r="2035" ht="12.75">
      <c r="I2035" s="48">
        <v>12</v>
      </c>
    </row>
    <row r="2036" ht="12.75">
      <c r="I2036" s="48">
        <v>13</v>
      </c>
    </row>
    <row r="2037" ht="12.75">
      <c r="I2037" s="48">
        <v>14</v>
      </c>
    </row>
    <row r="2038" ht="12.75">
      <c r="I2038" s="48">
        <v>15</v>
      </c>
    </row>
    <row r="2039" ht="12.75">
      <c r="I2039" s="48">
        <v>16</v>
      </c>
    </row>
    <row r="2040" ht="12.75">
      <c r="I2040" s="48">
        <v>17</v>
      </c>
    </row>
    <row r="2041" ht="12.75">
      <c r="I2041" s="48">
        <v>18</v>
      </c>
    </row>
    <row r="2042" ht="12.75">
      <c r="I2042" s="48">
        <v>19</v>
      </c>
    </row>
    <row r="2043" ht="12.75">
      <c r="I2043" s="48">
        <v>20</v>
      </c>
    </row>
    <row r="2044" spans="9:10" ht="12.75">
      <c r="I2044" s="48">
        <v>1</v>
      </c>
      <c r="J2044" s="48" t="s">
        <v>708</v>
      </c>
    </row>
    <row r="2045" spans="9:13" ht="12.75">
      <c r="I2045" s="48">
        <v>2</v>
      </c>
      <c r="J2045" s="48">
        <v>3</v>
      </c>
      <c r="K2045" s="48">
        <v>6</v>
      </c>
      <c r="M2045" s="48">
        <v>97</v>
      </c>
    </row>
    <row r="2046" spans="9:13" ht="12.75">
      <c r="I2046" s="48">
        <v>3</v>
      </c>
      <c r="J2046" s="48">
        <v>4</v>
      </c>
      <c r="K2046" s="48">
        <v>6</v>
      </c>
      <c r="M2046" s="48">
        <v>85</v>
      </c>
    </row>
    <row r="2047" spans="9:13" ht="12.75">
      <c r="I2047" s="48">
        <v>4</v>
      </c>
      <c r="K2047" s="48">
        <v>8</v>
      </c>
      <c r="M2047" s="48">
        <v>95</v>
      </c>
    </row>
    <row r="2048" ht="12.75">
      <c r="I2048" s="48">
        <v>5</v>
      </c>
    </row>
    <row r="2049" ht="12.75">
      <c r="I2049" s="48">
        <v>6</v>
      </c>
    </row>
    <row r="2050" ht="12.75">
      <c r="I2050" s="48">
        <v>7</v>
      </c>
    </row>
    <row r="2051" ht="12.75">
      <c r="I2051" s="48">
        <v>8</v>
      </c>
    </row>
    <row r="2052" ht="12.75">
      <c r="I2052" s="48">
        <v>9</v>
      </c>
    </row>
    <row r="2053" ht="12.75">
      <c r="I2053" s="48">
        <v>10</v>
      </c>
    </row>
    <row r="2054" ht="12.75">
      <c r="I2054" s="48">
        <v>11</v>
      </c>
    </row>
    <row r="2055" ht="12.75">
      <c r="I2055" s="48">
        <v>12</v>
      </c>
    </row>
    <row r="2056" ht="12.75">
      <c r="I2056" s="48">
        <v>13</v>
      </c>
    </row>
    <row r="2057" ht="12.75">
      <c r="I2057" s="48">
        <v>14</v>
      </c>
    </row>
    <row r="2058" ht="12.75">
      <c r="I2058" s="48">
        <v>15</v>
      </c>
    </row>
    <row r="2059" ht="12.75">
      <c r="I2059" s="48">
        <v>16</v>
      </c>
    </row>
    <row r="2060" ht="12.75">
      <c r="I2060" s="48">
        <v>17</v>
      </c>
    </row>
    <row r="2061" ht="12.75">
      <c r="I2061" s="48">
        <v>18</v>
      </c>
    </row>
    <row r="2062" ht="12.75">
      <c r="I2062" s="48">
        <v>19</v>
      </c>
    </row>
    <row r="2063" ht="12.75">
      <c r="I2063" s="48">
        <v>20</v>
      </c>
    </row>
    <row r="2064" spans="9:10" ht="12.75">
      <c r="I2064" s="48">
        <v>1</v>
      </c>
      <c r="J2064" s="48" t="s">
        <v>709</v>
      </c>
    </row>
    <row r="2065" spans="9:13" ht="12.75">
      <c r="I2065" s="48">
        <v>2</v>
      </c>
      <c r="J2065" s="48">
        <v>3</v>
      </c>
      <c r="K2065" s="48">
        <v>6</v>
      </c>
      <c r="M2065" s="48">
        <v>96</v>
      </c>
    </row>
    <row r="2066" spans="9:13" ht="12.75">
      <c r="I2066" s="48">
        <v>3</v>
      </c>
      <c r="J2066" s="48">
        <v>4</v>
      </c>
      <c r="K2066" s="48">
        <v>6</v>
      </c>
      <c r="M2066" s="48">
        <v>83</v>
      </c>
    </row>
    <row r="2067" spans="9:13" ht="12.75">
      <c r="I2067" s="48">
        <v>4</v>
      </c>
      <c r="K2067" s="48">
        <v>8</v>
      </c>
      <c r="M2067" s="48">
        <v>93</v>
      </c>
    </row>
    <row r="2068" ht="12.75">
      <c r="I2068" s="48">
        <v>5</v>
      </c>
    </row>
    <row r="2069" ht="12.75">
      <c r="I2069" s="48">
        <v>6</v>
      </c>
    </row>
    <row r="2070" ht="12.75">
      <c r="I2070" s="48">
        <v>7</v>
      </c>
    </row>
    <row r="2071" ht="12.75">
      <c r="I2071" s="48">
        <v>8</v>
      </c>
    </row>
    <row r="2072" ht="12.75">
      <c r="I2072" s="48">
        <v>9</v>
      </c>
    </row>
    <row r="2073" ht="12.75">
      <c r="I2073" s="48">
        <v>10</v>
      </c>
    </row>
    <row r="2074" ht="12.75">
      <c r="I2074" s="48">
        <v>11</v>
      </c>
    </row>
    <row r="2075" ht="12.75">
      <c r="I2075" s="48">
        <v>12</v>
      </c>
    </row>
    <row r="2076" ht="12.75">
      <c r="I2076" s="48">
        <v>13</v>
      </c>
    </row>
    <row r="2077" ht="12.75">
      <c r="I2077" s="48">
        <v>14</v>
      </c>
    </row>
    <row r="2078" ht="12.75">
      <c r="I2078" s="48">
        <v>15</v>
      </c>
    </row>
    <row r="2079" ht="12.75">
      <c r="I2079" s="48">
        <v>16</v>
      </c>
    </row>
    <row r="2080" ht="12.75">
      <c r="I2080" s="48">
        <v>17</v>
      </c>
    </row>
    <row r="2081" ht="12.75">
      <c r="I2081" s="48">
        <v>18</v>
      </c>
    </row>
    <row r="2082" ht="12.75">
      <c r="I2082" s="48">
        <v>19</v>
      </c>
    </row>
    <row r="2083" ht="12.75">
      <c r="I2083" s="48">
        <v>20</v>
      </c>
    </row>
    <row r="2084" spans="9:10" ht="12.75">
      <c r="I2084" s="48">
        <v>1</v>
      </c>
      <c r="J2084" s="48" t="s">
        <v>710</v>
      </c>
    </row>
    <row r="2085" spans="9:13" ht="12.75">
      <c r="I2085" s="48">
        <v>2</v>
      </c>
      <c r="J2085" s="48">
        <v>3</v>
      </c>
      <c r="K2085" s="48">
        <v>6</v>
      </c>
      <c r="M2085" s="48">
        <v>95</v>
      </c>
    </row>
    <row r="2086" spans="9:13" ht="12.75">
      <c r="I2086" s="48">
        <v>3</v>
      </c>
      <c r="J2086" s="48">
        <v>4</v>
      </c>
      <c r="K2086" s="48">
        <v>6</v>
      </c>
      <c r="M2086" s="48">
        <v>82.1</v>
      </c>
    </row>
    <row r="2087" spans="9:13" ht="12.75">
      <c r="I2087" s="48">
        <v>4</v>
      </c>
      <c r="K2087" s="48">
        <v>8</v>
      </c>
      <c r="M2087" s="48">
        <v>92</v>
      </c>
    </row>
    <row r="2088" ht="12.75">
      <c r="I2088" s="48">
        <v>5</v>
      </c>
    </row>
    <row r="2089" ht="12.75">
      <c r="I2089" s="48">
        <v>6</v>
      </c>
    </row>
    <row r="2090" ht="12.75">
      <c r="I2090" s="48">
        <v>7</v>
      </c>
    </row>
    <row r="2091" ht="12.75">
      <c r="I2091" s="48">
        <v>8</v>
      </c>
    </row>
    <row r="2092" ht="12.75">
      <c r="I2092" s="48">
        <v>9</v>
      </c>
    </row>
    <row r="2093" ht="12.75">
      <c r="I2093" s="48">
        <v>10</v>
      </c>
    </row>
    <row r="2094" ht="12.75">
      <c r="I2094" s="48">
        <v>11</v>
      </c>
    </row>
    <row r="2095" ht="12.75">
      <c r="I2095" s="48">
        <v>12</v>
      </c>
    </row>
    <row r="2096" ht="12.75">
      <c r="I2096" s="48">
        <v>13</v>
      </c>
    </row>
    <row r="2097" ht="12.75">
      <c r="I2097" s="48">
        <v>14</v>
      </c>
    </row>
    <row r="2098" ht="12.75">
      <c r="I2098" s="48">
        <v>15</v>
      </c>
    </row>
    <row r="2099" ht="12.75">
      <c r="I2099" s="48">
        <v>16</v>
      </c>
    </row>
    <row r="2100" ht="12.75">
      <c r="I2100" s="48">
        <v>17</v>
      </c>
    </row>
    <row r="2101" ht="12.75">
      <c r="I2101" s="48">
        <v>18</v>
      </c>
    </row>
    <row r="2102" ht="12.75">
      <c r="I2102" s="48">
        <v>19</v>
      </c>
    </row>
    <row r="2103" ht="12.75">
      <c r="I2103" s="48">
        <v>20</v>
      </c>
    </row>
    <row r="2104" spans="9:10" ht="12.75">
      <c r="I2104" s="48">
        <v>1</v>
      </c>
      <c r="J2104" s="48" t="s">
        <v>711</v>
      </c>
    </row>
    <row r="2105" ht="12.75">
      <c r="I2105" s="48">
        <v>2</v>
      </c>
    </row>
    <row r="2106" ht="12.75">
      <c r="I2106" s="48">
        <v>3</v>
      </c>
    </row>
    <row r="2107" ht="12.75">
      <c r="I2107" s="48">
        <v>4</v>
      </c>
    </row>
    <row r="2108" ht="12.75">
      <c r="I2108" s="48">
        <v>5</v>
      </c>
    </row>
    <row r="2109" ht="12.75">
      <c r="I2109" s="48">
        <v>6</v>
      </c>
    </row>
    <row r="2110" ht="12.75">
      <c r="I2110" s="48">
        <v>7</v>
      </c>
    </row>
    <row r="2111" ht="12.75">
      <c r="I2111" s="48">
        <v>8</v>
      </c>
    </row>
    <row r="2112" ht="12.75">
      <c r="I2112" s="48">
        <v>9</v>
      </c>
    </row>
    <row r="2113" ht="12.75">
      <c r="I2113" s="48">
        <v>10</v>
      </c>
    </row>
    <row r="2114" ht="12.75">
      <c r="I2114" s="48">
        <v>11</v>
      </c>
    </row>
    <row r="2115" ht="12.75">
      <c r="I2115" s="48">
        <v>12</v>
      </c>
    </row>
    <row r="2116" ht="12.75">
      <c r="I2116" s="48">
        <v>13</v>
      </c>
    </row>
    <row r="2117" ht="12.75">
      <c r="I2117" s="48">
        <v>14</v>
      </c>
    </row>
    <row r="2118" ht="12.75">
      <c r="I2118" s="48">
        <v>15</v>
      </c>
    </row>
    <row r="2119" ht="12.75">
      <c r="I2119" s="48">
        <v>16</v>
      </c>
    </row>
    <row r="2120" ht="12.75">
      <c r="I2120" s="48">
        <v>17</v>
      </c>
    </row>
    <row r="2121" ht="12.75">
      <c r="I2121" s="48">
        <v>18</v>
      </c>
    </row>
    <row r="2122" ht="12.75">
      <c r="I2122" s="48">
        <v>19</v>
      </c>
    </row>
    <row r="2123" ht="12.75">
      <c r="I2123" s="48">
        <v>20</v>
      </c>
    </row>
    <row r="2124" spans="9:10" ht="12.75">
      <c r="I2124" s="48">
        <v>1</v>
      </c>
      <c r="J2124" s="48" t="s">
        <v>712</v>
      </c>
    </row>
    <row r="2125" ht="12.75">
      <c r="I2125" s="48">
        <v>2</v>
      </c>
    </row>
    <row r="2126" ht="12.75">
      <c r="I2126" s="48">
        <v>3</v>
      </c>
    </row>
    <row r="2127" ht="12.75">
      <c r="I2127" s="48">
        <v>4</v>
      </c>
    </row>
    <row r="2128" ht="12.75">
      <c r="I2128" s="48">
        <v>5</v>
      </c>
    </row>
    <row r="2129" ht="12.75">
      <c r="I2129" s="48">
        <v>6</v>
      </c>
    </row>
    <row r="2130" ht="12.75">
      <c r="I2130" s="48">
        <v>7</v>
      </c>
    </row>
    <row r="2131" ht="12.75">
      <c r="I2131" s="48">
        <v>8</v>
      </c>
    </row>
    <row r="2132" ht="12.75">
      <c r="I2132" s="48">
        <v>9</v>
      </c>
    </row>
    <row r="2133" ht="12.75">
      <c r="I2133" s="48">
        <v>10</v>
      </c>
    </row>
    <row r="2134" ht="12.75">
      <c r="I2134" s="48">
        <v>11</v>
      </c>
    </row>
    <row r="2135" ht="12.75">
      <c r="I2135" s="48">
        <v>12</v>
      </c>
    </row>
    <row r="2136" ht="12.75">
      <c r="I2136" s="48">
        <v>13</v>
      </c>
    </row>
    <row r="2137" ht="12.75">
      <c r="I2137" s="48">
        <v>14</v>
      </c>
    </row>
    <row r="2138" ht="12.75">
      <c r="I2138" s="48">
        <v>15</v>
      </c>
    </row>
    <row r="2139" ht="12.75">
      <c r="I2139" s="48">
        <v>16</v>
      </c>
    </row>
    <row r="2140" ht="12.75">
      <c r="I2140" s="48">
        <v>17</v>
      </c>
    </row>
    <row r="2141" ht="12.75">
      <c r="I2141" s="48">
        <v>18</v>
      </c>
    </row>
    <row r="2142" ht="12.75">
      <c r="I2142" s="48">
        <v>19</v>
      </c>
    </row>
    <row r="2143" ht="12.75">
      <c r="I2143" s="48">
        <v>20</v>
      </c>
    </row>
    <row r="2144" spans="9:10" ht="12.75">
      <c r="I2144" s="48">
        <v>1</v>
      </c>
      <c r="J2144" s="48" t="s">
        <v>713</v>
      </c>
    </row>
    <row r="2145" ht="12.75">
      <c r="I2145" s="48">
        <v>2</v>
      </c>
    </row>
    <row r="2146" ht="12.75">
      <c r="I2146" s="48">
        <v>3</v>
      </c>
    </row>
    <row r="2147" ht="12.75">
      <c r="I2147" s="48">
        <v>4</v>
      </c>
    </row>
    <row r="2148" ht="12.75">
      <c r="I2148" s="48">
        <v>5</v>
      </c>
    </row>
    <row r="2149" ht="12.75">
      <c r="I2149" s="48">
        <v>6</v>
      </c>
    </row>
    <row r="2150" ht="12.75">
      <c r="I2150" s="48">
        <v>7</v>
      </c>
    </row>
    <row r="2151" ht="12.75">
      <c r="I2151" s="48">
        <v>8</v>
      </c>
    </row>
    <row r="2152" ht="12.75">
      <c r="I2152" s="48">
        <v>9</v>
      </c>
    </row>
    <row r="2153" ht="12.75">
      <c r="I2153" s="48">
        <v>10</v>
      </c>
    </row>
    <row r="2154" ht="12.75">
      <c r="I2154" s="48">
        <v>11</v>
      </c>
    </row>
    <row r="2155" ht="12.75">
      <c r="I2155" s="48">
        <v>12</v>
      </c>
    </row>
    <row r="2156" ht="12.75">
      <c r="I2156" s="48">
        <v>13</v>
      </c>
    </row>
    <row r="2157" ht="12.75">
      <c r="I2157" s="48">
        <v>14</v>
      </c>
    </row>
    <row r="2158" ht="12.75">
      <c r="I2158" s="48">
        <v>15</v>
      </c>
    </row>
    <row r="2159" ht="12.75">
      <c r="I2159" s="48">
        <v>16</v>
      </c>
    </row>
    <row r="2160" ht="12.75">
      <c r="I2160" s="48">
        <v>17</v>
      </c>
    </row>
    <row r="2161" ht="12.75">
      <c r="I2161" s="48">
        <v>18</v>
      </c>
    </row>
    <row r="2162" ht="12.75">
      <c r="I2162" s="48">
        <v>19</v>
      </c>
    </row>
    <row r="2163" ht="12.75">
      <c r="I2163" s="48">
        <v>20</v>
      </c>
    </row>
    <row r="2164" spans="9:10" ht="12.75">
      <c r="I2164" s="48">
        <v>1</v>
      </c>
      <c r="J2164" s="48" t="s">
        <v>714</v>
      </c>
    </row>
    <row r="2165" spans="9:13" ht="12.75">
      <c r="I2165" s="48">
        <v>2</v>
      </c>
      <c r="J2165" s="48">
        <v>2</v>
      </c>
      <c r="K2165" s="48">
        <v>6</v>
      </c>
      <c r="M2165" s="48">
        <v>110</v>
      </c>
    </row>
    <row r="2166" ht="12.75">
      <c r="I2166" s="48">
        <v>3</v>
      </c>
    </row>
    <row r="2167" ht="12.75">
      <c r="I2167" s="48">
        <v>4</v>
      </c>
    </row>
    <row r="2168" ht="12.75">
      <c r="I2168" s="48">
        <v>5</v>
      </c>
    </row>
    <row r="2169" ht="12.75">
      <c r="I2169" s="48">
        <v>6</v>
      </c>
    </row>
    <row r="2170" ht="12.75">
      <c r="I2170" s="48">
        <v>7</v>
      </c>
    </row>
    <row r="2171" ht="12.75">
      <c r="I2171" s="48">
        <v>8</v>
      </c>
    </row>
    <row r="2172" ht="12.75">
      <c r="I2172" s="48">
        <v>9</v>
      </c>
    </row>
    <row r="2173" ht="12.75">
      <c r="I2173" s="48">
        <v>10</v>
      </c>
    </row>
    <row r="2174" ht="12.75">
      <c r="I2174" s="48">
        <v>11</v>
      </c>
    </row>
    <row r="2175" ht="12.75">
      <c r="I2175" s="48">
        <v>12</v>
      </c>
    </row>
    <row r="2176" ht="12.75">
      <c r="I2176" s="48">
        <v>13</v>
      </c>
    </row>
    <row r="2177" ht="12.75">
      <c r="I2177" s="48">
        <v>14</v>
      </c>
    </row>
    <row r="2178" ht="12.75">
      <c r="I2178" s="48">
        <v>15</v>
      </c>
    </row>
    <row r="2179" ht="12.75">
      <c r="I2179" s="48">
        <v>16</v>
      </c>
    </row>
    <row r="2180" ht="12.75">
      <c r="I2180" s="48">
        <v>17</v>
      </c>
    </row>
    <row r="2181" ht="12.75">
      <c r="I2181" s="48">
        <v>18</v>
      </c>
    </row>
    <row r="2182" ht="12.75">
      <c r="I2182" s="48">
        <v>19</v>
      </c>
    </row>
    <row r="2183" ht="12.75">
      <c r="I2183" s="48">
        <v>20</v>
      </c>
    </row>
  </sheetData>
  <sheetProtection sheet="1" objects="1" scenarios="1"/>
  <mergeCells count="32">
    <mergeCell ref="A29:B30"/>
    <mergeCell ref="C29:E30"/>
    <mergeCell ref="F29:I30"/>
    <mergeCell ref="J29:L30"/>
    <mergeCell ref="AQ7:AX8"/>
    <mergeCell ref="P11:Q11"/>
    <mergeCell ref="U21:V21"/>
    <mergeCell ref="W21:X21"/>
    <mergeCell ref="Y21:Z21"/>
    <mergeCell ref="AO46:AO47"/>
    <mergeCell ref="AP46:AP47"/>
    <mergeCell ref="AO49:AO50"/>
    <mergeCell ref="AP49:AP50"/>
    <mergeCell ref="AO33:AO34"/>
    <mergeCell ref="AO38:AO39"/>
    <mergeCell ref="AP38:AP39"/>
    <mergeCell ref="AO41:AO42"/>
    <mergeCell ref="AP41:AP42"/>
    <mergeCell ref="AO62:AO63"/>
    <mergeCell ref="AP62:AP63"/>
    <mergeCell ref="AO65:AO66"/>
    <mergeCell ref="AP65:AP66"/>
    <mergeCell ref="AO54:AO55"/>
    <mergeCell ref="AP54:AP55"/>
    <mergeCell ref="AO57:AO58"/>
    <mergeCell ref="AP57:AP58"/>
    <mergeCell ref="AO76:AO77"/>
    <mergeCell ref="AP76:AP77"/>
    <mergeCell ref="AO70:AO71"/>
    <mergeCell ref="AP70:AP71"/>
    <mergeCell ref="AO73:AO74"/>
    <mergeCell ref="AP73:AP74"/>
  </mergeCells>
  <conditionalFormatting sqref="AS12:AU12">
    <cfRule type="expression" priority="1" dxfId="20" stopIfTrue="1">
      <formula>ISTEXT($AT$12)</formula>
    </cfRule>
  </conditionalFormatting>
  <conditionalFormatting sqref="AI8">
    <cfRule type="cellIs" priority="2" dxfId="4" operator="lessThan" stopIfTrue="1">
      <formula>0</formula>
    </cfRule>
    <cfRule type="expression" priority="3" dxfId="3" stopIfTrue="1">
      <formula>$V$9&gt;=3</formula>
    </cfRule>
  </conditionalFormatting>
  <conditionalFormatting sqref="AJ8">
    <cfRule type="cellIs" priority="4" dxfId="4" operator="lessThan" stopIfTrue="1">
      <formula>0</formula>
    </cfRule>
    <cfRule type="expression" priority="5" dxfId="3" stopIfTrue="1">
      <formula>$V$9&gt;=4</formula>
    </cfRule>
  </conditionalFormatting>
  <conditionalFormatting sqref="AK8">
    <cfRule type="cellIs" priority="6" dxfId="4" operator="lessThan" stopIfTrue="1">
      <formula>0</formula>
    </cfRule>
    <cfRule type="expression" priority="7" dxfId="3" stopIfTrue="1">
      <formula>$V$9&gt;=5</formula>
    </cfRule>
  </conditionalFormatting>
  <conditionalFormatting sqref="AL8">
    <cfRule type="cellIs" priority="8" dxfId="4" operator="lessThan" stopIfTrue="1">
      <formula>0</formula>
    </cfRule>
    <cfRule type="expression" priority="9" dxfId="3" stopIfTrue="1">
      <formula>$V$9&gt;=6</formula>
    </cfRule>
  </conditionalFormatting>
  <conditionalFormatting sqref="AM8">
    <cfRule type="cellIs" priority="10" dxfId="4" operator="lessThan" stopIfTrue="1">
      <formula>0</formula>
    </cfRule>
    <cfRule type="expression" priority="11" dxfId="3" stopIfTrue="1">
      <formula>$V$9&gt;=7</formula>
    </cfRule>
  </conditionalFormatting>
  <conditionalFormatting sqref="AN8">
    <cfRule type="cellIs" priority="12" dxfId="4" operator="lessThan" stopIfTrue="1">
      <formula>0</formula>
    </cfRule>
    <cfRule type="expression" priority="13" dxfId="3" stopIfTrue="1">
      <formula>$V$9&gt;=8</formula>
    </cfRule>
  </conditionalFormatting>
  <conditionalFormatting sqref="AI10">
    <cfRule type="expression" priority="14" dxfId="3" stopIfTrue="1">
      <formula>$V$10&lt;=-3</formula>
    </cfRule>
  </conditionalFormatting>
  <conditionalFormatting sqref="AH10">
    <cfRule type="expression" priority="15" dxfId="3" stopIfTrue="1">
      <formula>$V$10&lt;=-2</formula>
    </cfRule>
  </conditionalFormatting>
  <conditionalFormatting sqref="AG8 AE7:AE9">
    <cfRule type="cellIs" priority="16" dxfId="5" operator="lessThan" stopIfTrue="1">
      <formula>0</formula>
    </cfRule>
  </conditionalFormatting>
  <conditionalFormatting sqref="AH8">
    <cfRule type="cellIs" priority="17" dxfId="4" operator="lessThan" stopIfTrue="1">
      <formula>0</formula>
    </cfRule>
    <cfRule type="expression" priority="18" dxfId="3" stopIfTrue="1">
      <formula>$V$9&gt;=2</formula>
    </cfRule>
  </conditionalFormatting>
  <conditionalFormatting sqref="AE12">
    <cfRule type="cellIs" priority="19" dxfId="0" operator="greaterThanOrEqual" stopIfTrue="1">
      <formula>0</formula>
    </cfRule>
  </conditionalFormatting>
  <conditionalFormatting sqref="V17">
    <cfRule type="expression" priority="20" dxfId="0" stopIfTrue="1">
      <formula>IF($U$17&gt;0,IF($U$15&gt;$U$17,"true","false"),"false")</formula>
    </cfRule>
  </conditionalFormatting>
  <conditionalFormatting sqref="V16">
    <cfRule type="expression" priority="21" dxfId="0" stopIfTrue="1">
      <formula>($U$16&gt;$U$15)</formula>
    </cfRule>
  </conditionalFormatting>
  <dataValidations count="7">
    <dataValidation type="list" allowBlank="1" showErrorMessage="1" promptTitle="Select a Crystal Structure" prompt="Use this drop-down list to select a structure that&#10;1) has the correct anion charge (you enter only the cation charge).&#10;2) has a radius ratio between, hopefully, the maximum and minimum ratios for that lattice." sqref="U7">
      <formula1>$S$23:$S$39</formula1>
    </dataValidation>
    <dataValidation allowBlank="1" showInputMessage="1" showErrorMessage="1" promptTitle="Structure-dependent Data" prompt="The green cells are calculated automatically, depending on the crystal structure selected." sqref="U16:U17 V7 W9:X9 V10:X10"/>
    <dataValidation type="list" allowBlank="1" showInputMessage="1" showErrorMessage="1" sqref="E12">
      <formula1>$I$39:$I$140</formula1>
    </dataValidation>
    <dataValidation allowBlank="1" showInputMessage="1" showErrorMessage="1" promptTitle="Atoms in Molecule:  Cation" prompt="Value:&#10;   1 (or blank) for moonoatomic elements (e.g., lithuium) &#10;   2 for diatomic elements (e.g., chlorine or oxygen)&#10;Note:&#10;   An example where a value of 2 might be used is&#10;      ½I2(s) + ½F2(g) --&gt; IF(s)" sqref="AF4"/>
    <dataValidation allowBlank="1" showInputMessage="1" showErrorMessage="1" promptTitle="Atoms in Molecule:  Anion" prompt="Value:&#10;   1 (or blank) for moonoatomic elements &#10;   2 for diatomic elements (e.g., chlorine or oxygen)&#10;   4 for phosphorus&#10;   8 for sulfur" sqref="AF5"/>
    <dataValidation type="textLength" allowBlank="1" showInputMessage="1" showErrorMessage="1" promptTitle="Anion Name" prompt="Enter letters for the name of the cation, such as Cl or O.  If blank, X will be used in the formulas." errorTitle="Cation Name" error="You can only enter from one to three letters here.  Fix it." sqref="AE5">
      <formula1>1</formula1>
      <formula2>3</formula2>
    </dataValidation>
    <dataValidation type="textLength" allowBlank="1" showInputMessage="1" showErrorMessage="1" promptTitle="Cation Name" prompt="Enter letters for the name of the cation, such as Na or K.  If blank, M wil be used in the formulas" errorTitle="Cation Name" error="You can only enter from one to three letters here.  Fix it." sqref="AE4">
      <formula1>1</formula1>
      <formula2>3</formula2>
    </dataValidation>
  </dataValidations>
  <hyperlinks>
    <hyperlink ref="F29" location="'Lattice Energy'!AM1" display="Jump to Born-Haber Cycle"/>
    <hyperlink ref="C29:E30" location="'Lattice Energy'!AB1" tooltip="Jump to &quot;Lattice Energy&quot; on this sheet." display="Lattice Energy ®"/>
    <hyperlink ref="J29:L30" location="'Lattice Energy'!BA1" tooltip="Jump to the &quot;solution enthalpy&quot; part of this sheet." display="Solution Enthalpy ® ® ®"/>
    <hyperlink ref="F29:I30" location="'Lattice Energy'!AM1" tooltip="Jump to the Born-Haber cycle part of this sheet" display="Born-Haber Cycle ® ®"/>
  </hyperlinks>
  <printOptions/>
  <pageMargins left="0.75" right="0.75" top="1" bottom="1" header="0.5" footer="0.5"/>
  <pageSetup horizontalDpi="600" verticalDpi="600" orientation="landscape" scale="99" r:id="rId4"/>
  <drawing r:id="rId3"/>
  <legacyDrawing r:id="rId2"/>
</worksheet>
</file>

<file path=xl/worksheets/sheet2.xml><?xml version="1.0" encoding="utf-8"?>
<worksheet xmlns="http://schemas.openxmlformats.org/spreadsheetml/2006/main" xmlns:r="http://schemas.openxmlformats.org/officeDocument/2006/relationships">
  <sheetPr codeName="Sheet6"/>
  <dimension ref="A1:AL247"/>
  <sheetViews>
    <sheetView zoomScalePageLayoutView="0" workbookViewId="0" topLeftCell="A1">
      <selection activeCell="A1" sqref="A1"/>
    </sheetView>
  </sheetViews>
  <sheetFormatPr defaultColWidth="9.140625" defaultRowHeight="12.75"/>
  <cols>
    <col min="2" max="2" width="9.140625" style="3" customWidth="1"/>
    <col min="3" max="3" width="4.7109375" style="0" bestFit="1" customWidth="1"/>
    <col min="4" max="4" width="7.8515625" style="0" bestFit="1" customWidth="1"/>
    <col min="5" max="5" width="8.00390625" style="0" customWidth="1"/>
    <col min="6" max="6" width="8.57421875" style="0" customWidth="1"/>
    <col min="7" max="7" width="9.57421875" style="0" customWidth="1"/>
    <col min="8" max="10" width="9.421875" style="0" bestFit="1" customWidth="1"/>
    <col min="11" max="11" width="9.57421875" style="0" customWidth="1"/>
    <col min="12" max="12" width="5.28125" style="0" bestFit="1" customWidth="1"/>
    <col min="13" max="13" width="9.7109375" style="0" bestFit="1" customWidth="1"/>
    <col min="15" max="15" width="4.00390625" style="0" customWidth="1"/>
    <col min="16" max="16" width="4.57421875" style="0" bestFit="1" customWidth="1"/>
    <col min="17" max="17" width="5.8515625" style="0" customWidth="1"/>
    <col min="18" max="18" width="7.421875" style="0" customWidth="1"/>
    <col min="19" max="19" width="8.421875" style="0" bestFit="1" customWidth="1"/>
    <col min="20" max="20" width="7.8515625" style="0" bestFit="1" customWidth="1"/>
    <col min="21" max="22" width="9.421875" style="0" bestFit="1" customWidth="1"/>
    <col min="23" max="23" width="6.421875" style="0" bestFit="1" customWidth="1"/>
    <col min="24" max="24" width="5.28125" style="0" bestFit="1" customWidth="1"/>
    <col min="25" max="25" width="9.7109375" style="0" bestFit="1" customWidth="1"/>
    <col min="28" max="28" width="3.28125" style="0" bestFit="1" customWidth="1"/>
    <col min="29" max="29" width="7.28125" style="0" customWidth="1"/>
    <col min="30" max="30" width="6.00390625" style="0" customWidth="1"/>
    <col min="31" max="31" width="8.140625" style="0" bestFit="1" customWidth="1"/>
    <col min="32" max="32" width="7.57421875" style="0" bestFit="1" customWidth="1"/>
    <col min="33" max="33" width="10.7109375" style="0" customWidth="1"/>
    <col min="34" max="34" width="8.8515625" style="0" customWidth="1"/>
    <col min="35" max="35" width="6.421875" style="0" bestFit="1" customWidth="1"/>
    <col min="36" max="36" width="5.00390625" style="0" bestFit="1" customWidth="1"/>
    <col min="37" max="37" width="9.421875" style="0" bestFit="1" customWidth="1"/>
  </cols>
  <sheetData>
    <row r="1" spans="2:13" ht="12.75">
      <c r="B1" s="1"/>
      <c r="C1" s="2"/>
      <c r="D1" s="2"/>
      <c r="E1" s="2"/>
      <c r="F1" s="2"/>
      <c r="G1" s="2"/>
      <c r="H1" s="2"/>
      <c r="I1" s="2"/>
      <c r="J1" s="2"/>
      <c r="L1" s="2"/>
      <c r="M1" s="2"/>
    </row>
    <row r="2" spans="7:8" ht="12.75">
      <c r="G2" s="332" t="s">
        <v>561</v>
      </c>
      <c r="H2" s="332"/>
    </row>
    <row r="3" spans="3:13" ht="12.75">
      <c r="C3" s="5" t="s">
        <v>562</v>
      </c>
      <c r="D3" s="4" t="s">
        <v>563</v>
      </c>
      <c r="E3" s="330" t="s">
        <v>564</v>
      </c>
      <c r="F3" s="330"/>
      <c r="G3" s="7" t="s">
        <v>715</v>
      </c>
      <c r="H3" s="7" t="s">
        <v>716</v>
      </c>
      <c r="I3" s="8" t="s">
        <v>565</v>
      </c>
      <c r="J3" s="8"/>
      <c r="K3" s="6" t="s">
        <v>566</v>
      </c>
      <c r="L3" s="10" t="s">
        <v>567</v>
      </c>
      <c r="M3" s="11" t="s">
        <v>568</v>
      </c>
    </row>
    <row r="4" spans="2:13" ht="12.75">
      <c r="B4" s="12" t="s">
        <v>569</v>
      </c>
      <c r="C4" s="13" t="s">
        <v>570</v>
      </c>
      <c r="D4" s="13" t="s">
        <v>571</v>
      </c>
      <c r="E4" s="4">
        <f>MATCH($C4,$D$146:$D$247,0)</f>
        <v>22</v>
      </c>
      <c r="F4" s="4">
        <f>MATCH($D4,$D$146:$D$247,0)</f>
        <v>8</v>
      </c>
      <c r="G4" s="14">
        <f>IF(INDEX($F$146:$F$247,$E4,1)="","",INDEX($F$146:$F$247,$E4,1))</f>
        <v>1.6</v>
      </c>
      <c r="H4" s="14">
        <f>IF(INDEX($F$146:$F$247,$F4,1)="","",INDEX($F$146:$F$247,$F4,1))</f>
        <v>3.5</v>
      </c>
      <c r="I4" s="15">
        <f>IF(INDEX($E$146:$E$247,$E4,1)="","",INDEX($E$146:$E$247,$E4,1))</f>
        <v>3</v>
      </c>
      <c r="J4" s="15">
        <f>IF(INDEX($E$146:$E$247,$F4,1)="","",INDEX($E$146:$E$247,$F4,1))</f>
        <v>2</v>
      </c>
      <c r="K4" s="4" t="str">
        <f>C4&amp;D4</f>
        <v>TiO</v>
      </c>
      <c r="L4" s="16">
        <f>ABS(G4-H4)</f>
        <v>1.9</v>
      </c>
      <c r="M4" s="16">
        <f>(I4+J4)/2</f>
        <v>2.5</v>
      </c>
    </row>
    <row r="5" spans="2:11" ht="12.75">
      <c r="B5" s="12"/>
      <c r="E5" s="4"/>
      <c r="F5" s="4"/>
      <c r="G5" s="14"/>
      <c r="H5" s="14"/>
      <c r="I5" s="15"/>
      <c r="J5" s="15"/>
      <c r="K5" s="4"/>
    </row>
    <row r="6" spans="7:10" ht="12.75">
      <c r="G6" s="17"/>
      <c r="H6" s="17"/>
      <c r="I6" s="18"/>
      <c r="J6" s="18"/>
    </row>
    <row r="7" spans="7:10" ht="12.75">
      <c r="G7" s="17"/>
      <c r="H7" s="17"/>
      <c r="I7" s="18"/>
      <c r="J7" s="18"/>
    </row>
    <row r="8" spans="7:10" ht="12.75">
      <c r="G8" s="17"/>
      <c r="H8" s="17"/>
      <c r="I8" s="18"/>
      <c r="J8" s="18"/>
    </row>
    <row r="9" spans="7:10" ht="12.75">
      <c r="G9" s="17"/>
      <c r="H9" s="17"/>
      <c r="I9" s="18"/>
      <c r="J9" s="18"/>
    </row>
    <row r="10" spans="7:10" ht="12.75">
      <c r="G10" s="17"/>
      <c r="H10" s="17"/>
      <c r="I10" s="18"/>
      <c r="J10" s="18"/>
    </row>
    <row r="11" spans="7:10" ht="12.75">
      <c r="G11" s="17"/>
      <c r="H11" s="17"/>
      <c r="I11" s="18"/>
      <c r="J11" s="18"/>
    </row>
    <row r="12" spans="7:10" ht="12.75">
      <c r="G12" s="17"/>
      <c r="H12" s="17"/>
      <c r="I12" s="18"/>
      <c r="J12" s="18"/>
    </row>
    <row r="13" spans="7:10" ht="12.75">
      <c r="G13" s="17"/>
      <c r="H13" s="17"/>
      <c r="I13" s="18"/>
      <c r="J13" s="18"/>
    </row>
    <row r="14" spans="7:10" ht="12.75">
      <c r="G14" s="17"/>
      <c r="H14" s="17"/>
      <c r="I14" s="18"/>
      <c r="J14" s="18"/>
    </row>
    <row r="15" spans="7:10" ht="12.75">
      <c r="G15" s="17"/>
      <c r="H15" s="17"/>
      <c r="I15" s="18"/>
      <c r="J15" s="18"/>
    </row>
    <row r="16" spans="7:10" ht="12.75">
      <c r="G16" s="17"/>
      <c r="H16" s="17"/>
      <c r="I16" s="18"/>
      <c r="J16" s="18"/>
    </row>
    <row r="17" spans="7:10" ht="12.75">
      <c r="G17" s="17"/>
      <c r="H17" s="17"/>
      <c r="I17" s="18"/>
      <c r="J17" s="18"/>
    </row>
    <row r="18" spans="7:10" ht="12.75">
      <c r="G18" s="17"/>
      <c r="H18" s="17"/>
      <c r="I18" s="18"/>
      <c r="J18" s="18"/>
    </row>
    <row r="19" spans="7:10" ht="12.75">
      <c r="G19" s="17"/>
      <c r="H19" s="17"/>
      <c r="I19" s="18"/>
      <c r="J19" s="18"/>
    </row>
    <row r="20" spans="7:10" ht="12.75">
      <c r="G20" s="17"/>
      <c r="H20" s="17"/>
      <c r="I20" s="18"/>
      <c r="J20" s="18"/>
    </row>
    <row r="21" spans="7:10" ht="12.75">
      <c r="G21" s="17"/>
      <c r="H21" s="17"/>
      <c r="I21" s="18"/>
      <c r="J21" s="18"/>
    </row>
    <row r="22" spans="7:10" ht="12.75">
      <c r="G22" s="17"/>
      <c r="H22" s="17"/>
      <c r="I22" s="18"/>
      <c r="J22" s="18"/>
    </row>
    <row r="23" spans="7:10" ht="12.75">
      <c r="G23" s="17"/>
      <c r="H23" s="17"/>
      <c r="I23" s="18"/>
      <c r="J23" s="18"/>
    </row>
    <row r="24" spans="7:10" ht="12.75">
      <c r="G24" s="17"/>
      <c r="H24" s="17"/>
      <c r="I24" s="18"/>
      <c r="J24" s="18"/>
    </row>
    <row r="25" spans="7:10" ht="12.75">
      <c r="G25" s="17"/>
      <c r="H25" s="17"/>
      <c r="I25" s="18"/>
      <c r="J25" s="18"/>
    </row>
    <row r="26" spans="7:10" ht="12.75">
      <c r="G26" s="17"/>
      <c r="H26" s="17"/>
      <c r="I26" s="18"/>
      <c r="J26" s="18"/>
    </row>
    <row r="27" spans="7:10" ht="12.75">
      <c r="G27" s="17"/>
      <c r="H27" s="17"/>
      <c r="I27" s="18"/>
      <c r="J27" s="18"/>
    </row>
    <row r="28" spans="7:10" ht="12.75">
      <c r="G28" s="17"/>
      <c r="H28" s="17"/>
      <c r="I28" s="18"/>
      <c r="J28" s="18"/>
    </row>
    <row r="29" spans="2:38" ht="12.75" customHeight="1">
      <c r="B29" s="329" t="s">
        <v>572</v>
      </c>
      <c r="C29" s="329"/>
      <c r="D29" s="329"/>
      <c r="E29" s="329"/>
      <c r="F29" s="329"/>
      <c r="G29" s="329"/>
      <c r="H29" s="329"/>
      <c r="I29" s="329"/>
      <c r="J29" s="329"/>
      <c r="K29" s="329"/>
      <c r="L29" s="329"/>
      <c r="N29" s="329" t="s">
        <v>9</v>
      </c>
      <c r="O29" s="329"/>
      <c r="P29" s="329"/>
      <c r="Q29" s="329"/>
      <c r="R29" s="329"/>
      <c r="S29" s="329"/>
      <c r="T29" s="329"/>
      <c r="U29" s="329"/>
      <c r="V29" s="329"/>
      <c r="W29" s="329"/>
      <c r="X29" s="329"/>
      <c r="AA29" s="329" t="s">
        <v>934</v>
      </c>
      <c r="AB29" s="329"/>
      <c r="AC29" s="329"/>
      <c r="AD29" s="329"/>
      <c r="AE29" s="329"/>
      <c r="AF29" s="329"/>
      <c r="AG29" s="329"/>
      <c r="AH29" s="329"/>
      <c r="AI29" s="329"/>
      <c r="AJ29" s="329"/>
      <c r="AK29" s="329"/>
      <c r="AL29" s="329"/>
    </row>
    <row r="30" spans="2:38" ht="12.75">
      <c r="B30" s="329"/>
      <c r="C30" s="329"/>
      <c r="D30" s="329"/>
      <c r="E30" s="329"/>
      <c r="F30" s="329"/>
      <c r="G30" s="329"/>
      <c r="H30" s="329"/>
      <c r="I30" s="329"/>
      <c r="J30" s="329"/>
      <c r="K30" s="329"/>
      <c r="L30" s="329"/>
      <c r="N30" s="329"/>
      <c r="O30" s="329"/>
      <c r="P30" s="329"/>
      <c r="Q30" s="329"/>
      <c r="R30" s="329"/>
      <c r="S30" s="329"/>
      <c r="T30" s="329"/>
      <c r="U30" s="329"/>
      <c r="V30" s="329"/>
      <c r="W30" s="329"/>
      <c r="X30" s="329"/>
      <c r="AA30" s="329"/>
      <c r="AB30" s="329"/>
      <c r="AC30" s="329"/>
      <c r="AD30" s="329"/>
      <c r="AE30" s="329"/>
      <c r="AF30" s="329"/>
      <c r="AG30" s="329"/>
      <c r="AH30" s="329"/>
      <c r="AI30" s="329"/>
      <c r="AJ30" s="329"/>
      <c r="AK30" s="329"/>
      <c r="AL30" s="329"/>
    </row>
    <row r="31" spans="2:38" ht="12.75">
      <c r="B31" s="329"/>
      <c r="C31" s="329"/>
      <c r="D31" s="329"/>
      <c r="E31" s="329"/>
      <c r="F31" s="329"/>
      <c r="G31" s="329"/>
      <c r="H31" s="329"/>
      <c r="I31" s="329"/>
      <c r="J31" s="329"/>
      <c r="K31" s="329"/>
      <c r="L31" s="329"/>
      <c r="N31" s="329"/>
      <c r="O31" s="329"/>
      <c r="P31" s="329"/>
      <c r="Q31" s="329"/>
      <c r="R31" s="329"/>
      <c r="S31" s="329"/>
      <c r="T31" s="329"/>
      <c r="U31" s="329"/>
      <c r="V31" s="329"/>
      <c r="W31" s="329"/>
      <c r="X31" s="329"/>
      <c r="AA31" s="329"/>
      <c r="AB31" s="329"/>
      <c r="AC31" s="329"/>
      <c r="AD31" s="329"/>
      <c r="AE31" s="329"/>
      <c r="AF31" s="329"/>
      <c r="AG31" s="329"/>
      <c r="AH31" s="329"/>
      <c r="AI31" s="329"/>
      <c r="AJ31" s="329"/>
      <c r="AK31" s="329"/>
      <c r="AL31" s="329"/>
    </row>
    <row r="32" spans="2:38" ht="12.75">
      <c r="B32" s="329"/>
      <c r="C32" s="329"/>
      <c r="D32" s="329"/>
      <c r="E32" s="329"/>
      <c r="F32" s="329"/>
      <c r="G32" s="329"/>
      <c r="H32" s="329"/>
      <c r="I32" s="329"/>
      <c r="J32" s="329"/>
      <c r="K32" s="329"/>
      <c r="L32" s="329"/>
      <c r="N32" s="329"/>
      <c r="O32" s="329"/>
      <c r="P32" s="329"/>
      <c r="Q32" s="329"/>
      <c r="R32" s="329"/>
      <c r="S32" s="329"/>
      <c r="T32" s="329"/>
      <c r="U32" s="329"/>
      <c r="V32" s="329"/>
      <c r="W32" s="329"/>
      <c r="X32" s="329"/>
      <c r="AA32" s="329"/>
      <c r="AB32" s="329"/>
      <c r="AC32" s="329"/>
      <c r="AD32" s="329"/>
      <c r="AE32" s="329"/>
      <c r="AF32" s="329"/>
      <c r="AG32" s="329"/>
      <c r="AH32" s="329"/>
      <c r="AI32" s="329"/>
      <c r="AJ32" s="329"/>
      <c r="AK32" s="329"/>
      <c r="AL32" s="329"/>
    </row>
    <row r="33" spans="2:12" ht="12.75">
      <c r="B33" s="19"/>
      <c r="C33" s="19"/>
      <c r="D33" s="19"/>
      <c r="E33" s="19"/>
      <c r="F33" s="19"/>
      <c r="G33" s="19"/>
      <c r="H33" s="19"/>
      <c r="I33" s="19"/>
      <c r="J33" s="19"/>
      <c r="K33" s="19"/>
      <c r="L33" s="19"/>
    </row>
    <row r="34" spans="2:12" ht="12.75">
      <c r="B34" s="20" t="s">
        <v>573</v>
      </c>
      <c r="C34" s="19"/>
      <c r="D34" s="19"/>
      <c r="E34" s="19"/>
      <c r="F34" s="19"/>
      <c r="G34" s="19"/>
      <c r="H34" s="19"/>
      <c r="I34" s="19"/>
      <c r="J34" s="19"/>
      <c r="K34" s="19"/>
      <c r="L34" s="19"/>
    </row>
    <row r="35" spans="2:12" ht="12.75" customHeight="1">
      <c r="B35" s="329" t="s">
        <v>717</v>
      </c>
      <c r="C35" s="329"/>
      <c r="D35" s="329"/>
      <c r="E35" s="329"/>
      <c r="F35" s="329"/>
      <c r="G35" s="329"/>
      <c r="H35" s="329"/>
      <c r="I35" s="329"/>
      <c r="J35" s="329"/>
      <c r="K35" s="329"/>
      <c r="L35" s="329"/>
    </row>
    <row r="36" spans="2:12" ht="12.75">
      <c r="B36" s="329"/>
      <c r="C36" s="329"/>
      <c r="D36" s="329"/>
      <c r="E36" s="329"/>
      <c r="F36" s="329"/>
      <c r="G36" s="329"/>
      <c r="H36" s="329"/>
      <c r="I36" s="329"/>
      <c r="J36" s="329"/>
      <c r="K36" s="329"/>
      <c r="L36" s="329"/>
    </row>
    <row r="37" spans="2:12" ht="12.75">
      <c r="B37" s="329"/>
      <c r="C37" s="329"/>
      <c r="D37" s="329"/>
      <c r="E37" s="329"/>
      <c r="F37" s="329"/>
      <c r="G37" s="329"/>
      <c r="H37" s="329"/>
      <c r="I37" s="329"/>
      <c r="J37" s="329"/>
      <c r="K37" s="329"/>
      <c r="L37" s="329"/>
    </row>
    <row r="38" spans="2:12" ht="12.75">
      <c r="B38" s="329"/>
      <c r="C38" s="329"/>
      <c r="D38" s="329"/>
      <c r="E38" s="329"/>
      <c r="F38" s="329"/>
      <c r="G38" s="329"/>
      <c r="H38" s="329"/>
      <c r="I38" s="329"/>
      <c r="J38" s="329"/>
      <c r="K38" s="329"/>
      <c r="L38" s="329"/>
    </row>
    <row r="39" spans="2:12" ht="12.75" customHeight="1">
      <c r="B39" s="331" t="s">
        <v>10</v>
      </c>
      <c r="C39" s="331"/>
      <c r="D39" s="331"/>
      <c r="E39" s="331"/>
      <c r="F39" s="331"/>
      <c r="G39" s="331"/>
      <c r="H39" s="331"/>
      <c r="I39" s="331"/>
      <c r="J39" s="331"/>
      <c r="K39" s="331"/>
      <c r="L39" s="331"/>
    </row>
    <row r="40" spans="2:12" ht="12.75">
      <c r="B40" s="331"/>
      <c r="C40" s="331"/>
      <c r="D40" s="331"/>
      <c r="E40" s="331"/>
      <c r="F40" s="331"/>
      <c r="G40" s="331"/>
      <c r="H40" s="331"/>
      <c r="I40" s="331"/>
      <c r="J40" s="331"/>
      <c r="K40" s="331"/>
      <c r="L40" s="331"/>
    </row>
    <row r="41" spans="2:12" ht="12.75">
      <c r="B41" s="331"/>
      <c r="C41" s="331"/>
      <c r="D41" s="331"/>
      <c r="E41" s="331"/>
      <c r="F41" s="331"/>
      <c r="G41" s="331"/>
      <c r="H41" s="331"/>
      <c r="I41" s="331"/>
      <c r="J41" s="331"/>
      <c r="K41" s="331"/>
      <c r="L41" s="331"/>
    </row>
    <row r="42" spans="2:12" ht="12.75">
      <c r="B42" s="331"/>
      <c r="C42" s="331"/>
      <c r="D42" s="331"/>
      <c r="E42" s="331"/>
      <c r="F42" s="331"/>
      <c r="G42" s="331"/>
      <c r="H42" s="331"/>
      <c r="I42" s="331"/>
      <c r="J42" s="331"/>
      <c r="K42" s="331"/>
      <c r="L42" s="331"/>
    </row>
    <row r="43" ht="12.75"/>
    <row r="44" spans="7:10" ht="12.75">
      <c r="G44" s="17"/>
      <c r="H44" s="17"/>
      <c r="I44" s="18"/>
      <c r="J44" s="18"/>
    </row>
    <row r="45" ht="12.75">
      <c r="C45" t="s">
        <v>574</v>
      </c>
    </row>
    <row r="46" spans="5:15" ht="12.75">
      <c r="E46" s="330" t="s">
        <v>564</v>
      </c>
      <c r="F46" s="330"/>
      <c r="G46" s="7" t="s">
        <v>715</v>
      </c>
      <c r="H46" s="7" t="s">
        <v>716</v>
      </c>
      <c r="I46" s="8" t="s">
        <v>565</v>
      </c>
      <c r="J46" s="8"/>
      <c r="K46" s="6" t="s">
        <v>566</v>
      </c>
      <c r="L46" s="10" t="s">
        <v>567</v>
      </c>
      <c r="M46" s="11" t="s">
        <v>568</v>
      </c>
      <c r="O46" t="s">
        <v>575</v>
      </c>
    </row>
    <row r="47" spans="2:27" ht="12.75">
      <c r="B47" s="21" t="s">
        <v>576</v>
      </c>
      <c r="C47" s="3" t="s">
        <v>577</v>
      </c>
      <c r="D47" s="3" t="s">
        <v>578</v>
      </c>
      <c r="E47" s="3">
        <f aca="true" t="shared" si="0" ref="E47:E53">MATCH($C47,$D$146:$D$247,0)</f>
        <v>55</v>
      </c>
      <c r="F47" s="3">
        <f aca="true" t="shared" si="1" ref="F47:F53">MATCH($D47,$D$146:$D$247,0)</f>
        <v>17</v>
      </c>
      <c r="G47" s="22">
        <f aca="true" t="shared" si="2" ref="G47:G53">IF(INDEX($F$146:$F$247,$E47,1)="","",INDEX($F$146:$F$247,$E47,1))</f>
        <v>0.75</v>
      </c>
      <c r="H47" s="22">
        <f aca="true" t="shared" si="3" ref="H47:H53">IF(INDEX($F$146:$F$247,$F47,1)="","",INDEX($F$146:$F$247,$F47,1))</f>
        <v>3</v>
      </c>
      <c r="I47" s="23">
        <f aca="true" t="shared" si="4" ref="I47:I53">IF(INDEX($E$146:$E$247,$E47,1)="","",INDEX($E$146:$E$247,$E47,1))</f>
        <v>5</v>
      </c>
      <c r="J47" s="23">
        <f aca="true" t="shared" si="5" ref="J47:J53">IF(INDEX($E$146:$E$247,$F47,1)="","",INDEX($E$146:$E$247,$F47,1))</f>
        <v>3</v>
      </c>
      <c r="K47" s="3" t="str">
        <f aca="true" t="shared" si="6" ref="K47:K53">C47&amp;D47</f>
        <v>CsCl</v>
      </c>
      <c r="L47" s="3">
        <f aca="true" t="shared" si="7" ref="L47:L53">ABS(G47-H47)</f>
        <v>2.25</v>
      </c>
      <c r="M47" s="3">
        <f aca="true" t="shared" si="8" ref="M47:M53">(I47+J47)/2</f>
        <v>4</v>
      </c>
      <c r="Q47" s="330" t="s">
        <v>564</v>
      </c>
      <c r="R47" s="330"/>
      <c r="S47" s="7" t="s">
        <v>715</v>
      </c>
      <c r="T47" s="7" t="s">
        <v>716</v>
      </c>
      <c r="U47" s="8" t="s">
        <v>565</v>
      </c>
      <c r="V47" s="8"/>
      <c r="W47" s="6" t="s">
        <v>566</v>
      </c>
      <c r="X47" s="10" t="s">
        <v>567</v>
      </c>
      <c r="Y47" s="11" t="s">
        <v>568</v>
      </c>
      <c r="AA47" t="s">
        <v>579</v>
      </c>
    </row>
    <row r="48" spans="2:37" ht="12.75">
      <c r="B48" s="21"/>
      <c r="C48" s="3" t="s">
        <v>577</v>
      </c>
      <c r="D48" s="3" t="s">
        <v>580</v>
      </c>
      <c r="E48" s="3">
        <f t="shared" si="0"/>
        <v>55</v>
      </c>
      <c r="F48" s="3">
        <f t="shared" si="1"/>
        <v>35</v>
      </c>
      <c r="G48" s="22">
        <f t="shared" si="2"/>
        <v>0.75</v>
      </c>
      <c r="H48" s="22">
        <f t="shared" si="3"/>
        <v>2.8</v>
      </c>
      <c r="I48" s="23">
        <f t="shared" si="4"/>
        <v>5</v>
      </c>
      <c r="J48" s="23">
        <f t="shared" si="5"/>
        <v>4</v>
      </c>
      <c r="K48" s="3" t="str">
        <f t="shared" si="6"/>
        <v>CsBr</v>
      </c>
      <c r="L48" s="3">
        <f t="shared" si="7"/>
        <v>2.05</v>
      </c>
      <c r="M48" s="3">
        <f t="shared" si="8"/>
        <v>4.5</v>
      </c>
      <c r="N48" s="21" t="s">
        <v>581</v>
      </c>
      <c r="O48" t="s">
        <v>582</v>
      </c>
      <c r="P48" t="s">
        <v>583</v>
      </c>
      <c r="Q48">
        <f aca="true" t="shared" si="9" ref="Q48:Q63">MATCH(O48,$D$146:$D$247,0)</f>
        <v>24</v>
      </c>
      <c r="R48">
        <f aca="true" t="shared" si="10" ref="R48:R63">MATCH(P48,$D$146:$D$247,0)</f>
        <v>16</v>
      </c>
      <c r="S48" s="17">
        <f aca="true" t="shared" si="11" ref="S48:S63">IF(INDEX($F$146:$F$247,Q48,1)="","",INDEX($F$146:$F$247,Q48,1))</f>
        <v>1.6</v>
      </c>
      <c r="T48" s="17">
        <f aca="true" t="shared" si="12" ref="T48:T63">IF(INDEX($F$146:$F$247,R48,1)="","",INDEX($F$146:$F$247,R48,1))</f>
        <v>2.5</v>
      </c>
      <c r="U48" s="18">
        <f aca="true" t="shared" si="13" ref="U48:U63">IF(INDEX($E$146:$E$247,Q48,1)="","",INDEX($E$146:$E$247,Q48,1))</f>
        <v>3</v>
      </c>
      <c r="V48" s="18">
        <f aca="true" t="shared" si="14" ref="V48:V63">IF(INDEX($E$146:$E$247,R48,1)="","",INDEX($E$146:$E$247,R48,1))</f>
        <v>3</v>
      </c>
      <c r="W48" t="str">
        <f aca="true" t="shared" si="15" ref="W48:W63">O48&amp;P48</f>
        <v>CrS</v>
      </c>
      <c r="X48">
        <f aca="true" t="shared" si="16" ref="X48:X63">ABS(S48-T48)</f>
        <v>0.8999999999999999</v>
      </c>
      <c r="Y48">
        <f aca="true" t="shared" si="17" ref="Y48:Y63">(U48+V48)/2</f>
        <v>3</v>
      </c>
      <c r="AC48" s="330" t="s">
        <v>564</v>
      </c>
      <c r="AD48" s="330"/>
      <c r="AE48" s="7" t="s">
        <v>715</v>
      </c>
      <c r="AF48" s="7" t="s">
        <v>716</v>
      </c>
      <c r="AG48" s="8" t="s">
        <v>565</v>
      </c>
      <c r="AH48" s="8"/>
      <c r="AI48" s="6" t="s">
        <v>566</v>
      </c>
      <c r="AJ48" s="10" t="s">
        <v>567</v>
      </c>
      <c r="AK48" s="11" t="s">
        <v>568</v>
      </c>
    </row>
    <row r="49" spans="2:37" ht="12.75">
      <c r="B49" s="21"/>
      <c r="C49" s="3" t="s">
        <v>577</v>
      </c>
      <c r="D49" s="3" t="s">
        <v>584</v>
      </c>
      <c r="E49" s="3">
        <f t="shared" si="0"/>
        <v>55</v>
      </c>
      <c r="F49" s="3">
        <f t="shared" si="1"/>
        <v>53</v>
      </c>
      <c r="G49" s="22">
        <f t="shared" si="2"/>
        <v>0.75</v>
      </c>
      <c r="H49" s="22">
        <f t="shared" si="3"/>
        <v>2.55</v>
      </c>
      <c r="I49" s="23">
        <f t="shared" si="4"/>
        <v>5</v>
      </c>
      <c r="J49" s="23">
        <f t="shared" si="5"/>
        <v>5</v>
      </c>
      <c r="K49" s="3" t="str">
        <f t="shared" si="6"/>
        <v>CsI</v>
      </c>
      <c r="L49" s="3">
        <f t="shared" si="7"/>
        <v>1.7999999999999998</v>
      </c>
      <c r="M49" s="3">
        <f t="shared" si="8"/>
        <v>5</v>
      </c>
      <c r="O49" t="s">
        <v>585</v>
      </c>
      <c r="P49" t="s">
        <v>583</v>
      </c>
      <c r="Q49">
        <f t="shared" si="9"/>
        <v>26</v>
      </c>
      <c r="R49">
        <f t="shared" si="10"/>
        <v>16</v>
      </c>
      <c r="S49" s="17">
        <f t="shared" si="11"/>
        <v>1.7</v>
      </c>
      <c r="T49" s="17">
        <f t="shared" si="12"/>
        <v>2.5</v>
      </c>
      <c r="U49" s="18">
        <f t="shared" si="13"/>
        <v>3</v>
      </c>
      <c r="V49" s="18">
        <f t="shared" si="14"/>
        <v>3</v>
      </c>
      <c r="W49" t="str">
        <f t="shared" si="15"/>
        <v>FeS</v>
      </c>
      <c r="X49">
        <f t="shared" si="16"/>
        <v>0.8</v>
      </c>
      <c r="Y49">
        <f t="shared" si="17"/>
        <v>3</v>
      </c>
      <c r="AA49" t="s">
        <v>586</v>
      </c>
      <c r="AB49" t="s">
        <v>587</v>
      </c>
      <c r="AC49">
        <f aca="true" t="shared" si="18" ref="AC49:AD56">MATCH(AA49,$D$146:$D$247,0)</f>
        <v>32</v>
      </c>
      <c r="AD49">
        <f t="shared" si="18"/>
        <v>15</v>
      </c>
      <c r="AE49" s="17">
        <f aca="true" t="shared" si="19" ref="AE49:AF56">IF(INDEX($F$146:$F$247,AC49,1)="","",INDEX($F$146:$F$247,AC49,1))</f>
        <v>1.8</v>
      </c>
      <c r="AF49" s="17">
        <f t="shared" si="19"/>
        <v>2.1</v>
      </c>
      <c r="AG49" s="18">
        <f aca="true" t="shared" si="20" ref="AG49:AH56">IF(INDEX($E$146:$E$247,AC49,1)="","",INDEX($E$146:$E$247,AC49,1))</f>
        <v>4</v>
      </c>
      <c r="AH49" s="18">
        <f t="shared" si="20"/>
        <v>3</v>
      </c>
      <c r="AI49" t="str">
        <f aca="true" t="shared" si="21" ref="AI49:AI56">AA49&amp;AB49</f>
        <v>GeP</v>
      </c>
      <c r="AJ49">
        <f aca="true" t="shared" si="22" ref="AJ49:AJ56">ABS(AE49-AF49)</f>
        <v>0.30000000000000004</v>
      </c>
      <c r="AK49">
        <f aca="true" t="shared" si="23" ref="AK49:AK56">(AG49+AH49)/2</f>
        <v>3.5</v>
      </c>
    </row>
    <row r="50" spans="2:37" ht="12.75">
      <c r="B50" s="21"/>
      <c r="C50" s="1" t="s">
        <v>588</v>
      </c>
      <c r="D50" s="3" t="s">
        <v>578</v>
      </c>
      <c r="E50" s="3">
        <f t="shared" si="0"/>
        <v>37</v>
      </c>
      <c r="F50" s="3">
        <f t="shared" si="1"/>
        <v>17</v>
      </c>
      <c r="G50" s="22">
        <f t="shared" si="2"/>
        <v>0.8</v>
      </c>
      <c r="H50" s="22">
        <f t="shared" si="3"/>
        <v>3</v>
      </c>
      <c r="I50" s="23">
        <f t="shared" si="4"/>
        <v>4</v>
      </c>
      <c r="J50" s="23">
        <f t="shared" si="5"/>
        <v>3</v>
      </c>
      <c r="K50" s="3" t="str">
        <f t="shared" si="6"/>
        <v>RbCl</v>
      </c>
      <c r="L50" s="3">
        <f t="shared" si="7"/>
        <v>2.2</v>
      </c>
      <c r="M50" s="3">
        <f t="shared" si="8"/>
        <v>3.5</v>
      </c>
      <c r="O50" t="s">
        <v>589</v>
      </c>
      <c r="P50" t="s">
        <v>583</v>
      </c>
      <c r="Q50">
        <f t="shared" si="9"/>
        <v>23</v>
      </c>
      <c r="R50">
        <f t="shared" si="10"/>
        <v>16</v>
      </c>
      <c r="S50" s="17">
        <f t="shared" si="11"/>
        <v>1.7</v>
      </c>
      <c r="T50" s="17">
        <f t="shared" si="12"/>
        <v>2.5</v>
      </c>
      <c r="U50" s="18">
        <f t="shared" si="13"/>
        <v>3</v>
      </c>
      <c r="V50" s="18">
        <f t="shared" si="14"/>
        <v>3</v>
      </c>
      <c r="W50" t="str">
        <f t="shared" si="15"/>
        <v>VS</v>
      </c>
      <c r="X50">
        <f t="shared" si="16"/>
        <v>0.8</v>
      </c>
      <c r="Y50">
        <f t="shared" si="17"/>
        <v>3</v>
      </c>
      <c r="AA50" t="s">
        <v>590</v>
      </c>
      <c r="AB50" t="s">
        <v>587</v>
      </c>
      <c r="AC50">
        <f t="shared" si="18"/>
        <v>50</v>
      </c>
      <c r="AD50">
        <f t="shared" si="18"/>
        <v>15</v>
      </c>
      <c r="AE50" s="17">
        <f t="shared" si="19"/>
        <v>1.7</v>
      </c>
      <c r="AF50" s="17">
        <f t="shared" si="19"/>
        <v>2.1</v>
      </c>
      <c r="AG50" s="18">
        <f t="shared" si="20"/>
        <v>5</v>
      </c>
      <c r="AH50" s="18">
        <f t="shared" si="20"/>
        <v>3</v>
      </c>
      <c r="AI50" t="str">
        <f t="shared" si="21"/>
        <v>SnP</v>
      </c>
      <c r="AJ50">
        <f t="shared" si="22"/>
        <v>0.40000000000000013</v>
      </c>
      <c r="AK50">
        <f t="shared" si="23"/>
        <v>4</v>
      </c>
    </row>
    <row r="51" spans="2:37" ht="12.75">
      <c r="B51" s="21"/>
      <c r="C51" s="1" t="s">
        <v>591</v>
      </c>
      <c r="D51" s="3" t="s">
        <v>578</v>
      </c>
      <c r="E51" s="3">
        <f t="shared" si="0"/>
        <v>81</v>
      </c>
      <c r="F51" s="3">
        <f t="shared" si="1"/>
        <v>17</v>
      </c>
      <c r="G51" s="22">
        <f t="shared" si="2"/>
        <v>1.5</v>
      </c>
      <c r="H51" s="22">
        <f t="shared" si="3"/>
        <v>3</v>
      </c>
      <c r="I51" s="23">
        <f t="shared" si="4"/>
        <v>6</v>
      </c>
      <c r="J51" s="23">
        <f t="shared" si="5"/>
        <v>3</v>
      </c>
      <c r="K51" s="3" t="str">
        <f t="shared" si="6"/>
        <v>TlCl</v>
      </c>
      <c r="L51" s="3">
        <f t="shared" si="7"/>
        <v>1.5</v>
      </c>
      <c r="M51" s="3">
        <f t="shared" si="8"/>
        <v>4.5</v>
      </c>
      <c r="O51" t="s">
        <v>589</v>
      </c>
      <c r="P51" t="s">
        <v>592</v>
      </c>
      <c r="Q51">
        <f t="shared" si="9"/>
        <v>23</v>
      </c>
      <c r="R51">
        <f t="shared" si="10"/>
        <v>34</v>
      </c>
      <c r="S51" s="17">
        <f t="shared" si="11"/>
        <v>1.7</v>
      </c>
      <c r="T51" s="17">
        <f t="shared" si="12"/>
        <v>2.4</v>
      </c>
      <c r="U51" s="18">
        <f t="shared" si="13"/>
        <v>3</v>
      </c>
      <c r="V51" s="18">
        <f t="shared" si="14"/>
        <v>4</v>
      </c>
      <c r="W51" t="str">
        <f t="shared" si="15"/>
        <v>VSe</v>
      </c>
      <c r="X51">
        <f t="shared" si="16"/>
        <v>0.7</v>
      </c>
      <c r="Y51">
        <f t="shared" si="17"/>
        <v>3.5</v>
      </c>
      <c r="AA51" t="s">
        <v>590</v>
      </c>
      <c r="AB51" t="s">
        <v>593</v>
      </c>
      <c r="AC51">
        <f t="shared" si="18"/>
        <v>50</v>
      </c>
      <c r="AD51">
        <f t="shared" si="18"/>
        <v>33</v>
      </c>
      <c r="AE51" s="17">
        <f t="shared" si="19"/>
        <v>1.7</v>
      </c>
      <c r="AF51" s="17">
        <f t="shared" si="19"/>
        <v>2</v>
      </c>
      <c r="AG51" s="18">
        <f t="shared" si="20"/>
        <v>5</v>
      </c>
      <c r="AH51" s="18">
        <f t="shared" si="20"/>
        <v>4</v>
      </c>
      <c r="AI51" t="str">
        <f t="shared" si="21"/>
        <v>SnAs</v>
      </c>
      <c r="AJ51">
        <f t="shared" si="22"/>
        <v>0.30000000000000004</v>
      </c>
      <c r="AK51">
        <f t="shared" si="23"/>
        <v>4.5</v>
      </c>
    </row>
    <row r="52" spans="2:37" ht="12.75">
      <c r="B52" s="21"/>
      <c r="C52" s="1" t="s">
        <v>591</v>
      </c>
      <c r="D52" s="3" t="s">
        <v>580</v>
      </c>
      <c r="E52" s="3">
        <f t="shared" si="0"/>
        <v>81</v>
      </c>
      <c r="F52" s="3">
        <f t="shared" si="1"/>
        <v>35</v>
      </c>
      <c r="G52" s="22">
        <f t="shared" si="2"/>
        <v>1.5</v>
      </c>
      <c r="H52" s="22">
        <f t="shared" si="3"/>
        <v>2.8</v>
      </c>
      <c r="I52" s="23">
        <f t="shared" si="4"/>
        <v>6</v>
      </c>
      <c r="J52" s="23">
        <f t="shared" si="5"/>
        <v>4</v>
      </c>
      <c r="K52" s="3" t="str">
        <f t="shared" si="6"/>
        <v>TlBr</v>
      </c>
      <c r="L52" s="3">
        <f t="shared" si="7"/>
        <v>1.2999999999999998</v>
      </c>
      <c r="M52" s="3">
        <f t="shared" si="8"/>
        <v>5</v>
      </c>
      <c r="O52" t="s">
        <v>594</v>
      </c>
      <c r="P52" t="s">
        <v>595</v>
      </c>
      <c r="Q52">
        <f t="shared" si="9"/>
        <v>27</v>
      </c>
      <c r="R52">
        <f t="shared" si="10"/>
        <v>52</v>
      </c>
      <c r="S52" s="17">
        <f t="shared" si="11"/>
        <v>1.7</v>
      </c>
      <c r="T52" s="17">
        <f t="shared" si="12"/>
        <v>2.1</v>
      </c>
      <c r="U52" s="18">
        <f t="shared" si="13"/>
        <v>3</v>
      </c>
      <c r="V52" s="18">
        <f t="shared" si="14"/>
        <v>5</v>
      </c>
      <c r="W52" t="str">
        <f t="shared" si="15"/>
        <v>CoTe</v>
      </c>
      <c r="X52">
        <f t="shared" si="16"/>
        <v>0.40000000000000013</v>
      </c>
      <c r="Y52">
        <f t="shared" si="17"/>
        <v>4</v>
      </c>
      <c r="AA52" s="2" t="s">
        <v>590</v>
      </c>
      <c r="AB52" t="s">
        <v>592</v>
      </c>
      <c r="AC52">
        <f t="shared" si="18"/>
        <v>50</v>
      </c>
      <c r="AD52">
        <f t="shared" si="18"/>
        <v>34</v>
      </c>
      <c r="AE52" s="17">
        <f t="shared" si="19"/>
        <v>1.7</v>
      </c>
      <c r="AF52" s="17">
        <f t="shared" si="19"/>
        <v>2.4</v>
      </c>
      <c r="AG52" s="18">
        <f t="shared" si="20"/>
        <v>5</v>
      </c>
      <c r="AH52" s="18">
        <f t="shared" si="20"/>
        <v>4</v>
      </c>
      <c r="AI52" t="str">
        <f t="shared" si="21"/>
        <v>SnSe</v>
      </c>
      <c r="AJ52">
        <f t="shared" si="22"/>
        <v>0.7</v>
      </c>
      <c r="AK52">
        <f t="shared" si="23"/>
        <v>4.5</v>
      </c>
    </row>
    <row r="53" spans="3:37" ht="12.75">
      <c r="C53" s="1" t="s">
        <v>591</v>
      </c>
      <c r="D53" s="3" t="s">
        <v>584</v>
      </c>
      <c r="E53">
        <f t="shared" si="0"/>
        <v>81</v>
      </c>
      <c r="F53">
        <f t="shared" si="1"/>
        <v>53</v>
      </c>
      <c r="G53" s="17">
        <f t="shared" si="2"/>
        <v>1.5</v>
      </c>
      <c r="H53" s="17">
        <f t="shared" si="3"/>
        <v>2.55</v>
      </c>
      <c r="I53" s="18">
        <f t="shared" si="4"/>
        <v>6</v>
      </c>
      <c r="J53" s="18">
        <f t="shared" si="5"/>
        <v>5</v>
      </c>
      <c r="K53" t="str">
        <f t="shared" si="6"/>
        <v>TlI</v>
      </c>
      <c r="L53">
        <f t="shared" si="7"/>
        <v>1.0499999999999998</v>
      </c>
      <c r="M53">
        <f t="shared" si="8"/>
        <v>5.5</v>
      </c>
      <c r="O53" t="s">
        <v>596</v>
      </c>
      <c r="P53" t="s">
        <v>595</v>
      </c>
      <c r="Q53">
        <f t="shared" si="9"/>
        <v>28</v>
      </c>
      <c r="R53">
        <f t="shared" si="10"/>
        <v>52</v>
      </c>
      <c r="S53" s="17">
        <f t="shared" si="11"/>
        <v>1.8</v>
      </c>
      <c r="T53" s="17">
        <f t="shared" si="12"/>
        <v>2.1</v>
      </c>
      <c r="U53" s="18">
        <f t="shared" si="13"/>
        <v>3</v>
      </c>
      <c r="V53" s="18">
        <f t="shared" si="14"/>
        <v>5</v>
      </c>
      <c r="W53" t="str">
        <f t="shared" si="15"/>
        <v>NiTe</v>
      </c>
      <c r="X53">
        <f t="shared" si="16"/>
        <v>0.30000000000000004</v>
      </c>
      <c r="Y53">
        <f t="shared" si="17"/>
        <v>4</v>
      </c>
      <c r="AA53" s="2" t="s">
        <v>590</v>
      </c>
      <c r="AB53" t="s">
        <v>595</v>
      </c>
      <c r="AC53">
        <f t="shared" si="18"/>
        <v>50</v>
      </c>
      <c r="AD53">
        <f t="shared" si="18"/>
        <v>52</v>
      </c>
      <c r="AE53" s="17">
        <f t="shared" si="19"/>
        <v>1.7</v>
      </c>
      <c r="AF53" s="17">
        <f t="shared" si="19"/>
        <v>2.1</v>
      </c>
      <c r="AG53" s="18">
        <f t="shared" si="20"/>
        <v>5</v>
      </c>
      <c r="AH53" s="18">
        <f t="shared" si="20"/>
        <v>5</v>
      </c>
      <c r="AI53" t="str">
        <f t="shared" si="21"/>
        <v>SnTe</v>
      </c>
      <c r="AJ53">
        <f t="shared" si="22"/>
        <v>0.40000000000000013</v>
      </c>
      <c r="AK53">
        <f t="shared" si="23"/>
        <v>5</v>
      </c>
    </row>
    <row r="54" spans="3:37" ht="12.75">
      <c r="C54" s="1"/>
      <c r="D54" s="3"/>
      <c r="G54" s="17"/>
      <c r="H54" s="17"/>
      <c r="I54" s="18"/>
      <c r="J54" s="18"/>
      <c r="N54" s="21" t="s">
        <v>597</v>
      </c>
      <c r="O54" t="s">
        <v>585</v>
      </c>
      <c r="P54" t="s">
        <v>587</v>
      </c>
      <c r="Q54">
        <f t="shared" si="9"/>
        <v>26</v>
      </c>
      <c r="R54">
        <f t="shared" si="10"/>
        <v>15</v>
      </c>
      <c r="S54" s="17">
        <f t="shared" si="11"/>
        <v>1.7</v>
      </c>
      <c r="T54" s="17">
        <f t="shared" si="12"/>
        <v>2.1</v>
      </c>
      <c r="U54" s="18">
        <f t="shared" si="13"/>
        <v>3</v>
      </c>
      <c r="V54" s="18">
        <f t="shared" si="14"/>
        <v>3</v>
      </c>
      <c r="W54" t="str">
        <f t="shared" si="15"/>
        <v>FeP</v>
      </c>
      <c r="X54">
        <f t="shared" si="16"/>
        <v>0.40000000000000013</v>
      </c>
      <c r="Y54">
        <f t="shared" si="17"/>
        <v>3</v>
      </c>
      <c r="AA54" s="2" t="s">
        <v>598</v>
      </c>
      <c r="AB54" t="s">
        <v>583</v>
      </c>
      <c r="AC54">
        <f t="shared" si="18"/>
        <v>82</v>
      </c>
      <c r="AD54">
        <f t="shared" si="18"/>
        <v>16</v>
      </c>
      <c r="AE54" s="17">
        <f t="shared" si="19"/>
        <v>1.6</v>
      </c>
      <c r="AF54" s="17">
        <f t="shared" si="19"/>
        <v>2.5</v>
      </c>
      <c r="AG54" s="18">
        <f t="shared" si="20"/>
        <v>6</v>
      </c>
      <c r="AH54" s="18">
        <f t="shared" si="20"/>
        <v>3</v>
      </c>
      <c r="AI54" t="str">
        <f t="shared" si="21"/>
        <v>PbS</v>
      </c>
      <c r="AJ54">
        <f t="shared" si="22"/>
        <v>0.8999999999999999</v>
      </c>
      <c r="AK54">
        <f t="shared" si="23"/>
        <v>4.5</v>
      </c>
    </row>
    <row r="55" spans="3:37" ht="12.75">
      <c r="C55" t="s">
        <v>599</v>
      </c>
      <c r="N55" s="21"/>
      <c r="O55" t="s">
        <v>594</v>
      </c>
      <c r="P55" t="s">
        <v>587</v>
      </c>
      <c r="Q55">
        <f t="shared" si="9"/>
        <v>27</v>
      </c>
      <c r="R55">
        <f t="shared" si="10"/>
        <v>15</v>
      </c>
      <c r="S55" s="17">
        <f t="shared" si="11"/>
        <v>1.7</v>
      </c>
      <c r="T55" s="17">
        <f t="shared" si="12"/>
        <v>2.1</v>
      </c>
      <c r="U55" s="18">
        <f t="shared" si="13"/>
        <v>3</v>
      </c>
      <c r="V55" s="18">
        <f t="shared" si="14"/>
        <v>3</v>
      </c>
      <c r="W55" t="str">
        <f t="shared" si="15"/>
        <v>CoP</v>
      </c>
      <c r="X55">
        <f t="shared" si="16"/>
        <v>0.40000000000000013</v>
      </c>
      <c r="Y55">
        <f t="shared" si="17"/>
        <v>3</v>
      </c>
      <c r="AA55" s="2" t="s">
        <v>598</v>
      </c>
      <c r="AB55" t="s">
        <v>592</v>
      </c>
      <c r="AC55">
        <f t="shared" si="18"/>
        <v>82</v>
      </c>
      <c r="AD55">
        <f t="shared" si="18"/>
        <v>34</v>
      </c>
      <c r="AE55" s="17">
        <f t="shared" si="19"/>
        <v>1.6</v>
      </c>
      <c r="AF55" s="17">
        <f t="shared" si="19"/>
        <v>2.4</v>
      </c>
      <c r="AG55" s="18">
        <f t="shared" si="20"/>
        <v>6</v>
      </c>
      <c r="AH55" s="18">
        <f t="shared" si="20"/>
        <v>4</v>
      </c>
      <c r="AI55" t="str">
        <f t="shared" si="21"/>
        <v>PbSe</v>
      </c>
      <c r="AJ55">
        <f t="shared" si="22"/>
        <v>0.7999999999999998</v>
      </c>
      <c r="AK55">
        <f t="shared" si="23"/>
        <v>5</v>
      </c>
    </row>
    <row r="56" spans="5:37" ht="12.75">
      <c r="E56" s="330" t="s">
        <v>564</v>
      </c>
      <c r="F56" s="330"/>
      <c r="G56" s="7" t="s">
        <v>715</v>
      </c>
      <c r="H56" s="7" t="s">
        <v>716</v>
      </c>
      <c r="I56" s="8" t="s">
        <v>565</v>
      </c>
      <c r="J56" s="8"/>
      <c r="K56" s="6" t="s">
        <v>566</v>
      </c>
      <c r="L56" s="10" t="s">
        <v>567</v>
      </c>
      <c r="M56" s="11" t="s">
        <v>568</v>
      </c>
      <c r="N56" s="21"/>
      <c r="O56" t="s">
        <v>596</v>
      </c>
      <c r="P56" t="s">
        <v>600</v>
      </c>
      <c r="Q56">
        <f t="shared" si="9"/>
        <v>28</v>
      </c>
      <c r="R56">
        <f t="shared" si="10"/>
        <v>51</v>
      </c>
      <c r="S56" s="17">
        <f t="shared" si="11"/>
        <v>1.8</v>
      </c>
      <c r="T56" s="17">
        <f t="shared" si="12"/>
        <v>1.8</v>
      </c>
      <c r="U56" s="18">
        <f t="shared" si="13"/>
        <v>3</v>
      </c>
      <c r="V56" s="18">
        <f t="shared" si="14"/>
        <v>5</v>
      </c>
      <c r="W56" t="str">
        <f t="shared" si="15"/>
        <v>NiSb</v>
      </c>
      <c r="X56">
        <f t="shared" si="16"/>
        <v>0</v>
      </c>
      <c r="Y56">
        <f t="shared" si="17"/>
        <v>4</v>
      </c>
      <c r="AA56" s="2" t="s">
        <v>598</v>
      </c>
      <c r="AB56" t="s">
        <v>595</v>
      </c>
      <c r="AC56">
        <f t="shared" si="18"/>
        <v>82</v>
      </c>
      <c r="AD56">
        <f t="shared" si="18"/>
        <v>52</v>
      </c>
      <c r="AE56" s="17">
        <f t="shared" si="19"/>
        <v>1.6</v>
      </c>
      <c r="AF56" s="17">
        <f t="shared" si="19"/>
        <v>2.1</v>
      </c>
      <c r="AG56" s="18">
        <f t="shared" si="20"/>
        <v>6</v>
      </c>
      <c r="AH56" s="18">
        <f t="shared" si="20"/>
        <v>5</v>
      </c>
      <c r="AI56" t="str">
        <f t="shared" si="21"/>
        <v>PbTe</v>
      </c>
      <c r="AJ56">
        <f t="shared" si="22"/>
        <v>0.5</v>
      </c>
      <c r="AK56">
        <f t="shared" si="23"/>
        <v>5.5</v>
      </c>
    </row>
    <row r="57" spans="2:34" ht="12.75">
      <c r="B57" s="21" t="s">
        <v>576</v>
      </c>
      <c r="C57" t="s">
        <v>601</v>
      </c>
      <c r="D57" t="s">
        <v>602</v>
      </c>
      <c r="E57" s="3">
        <f aca="true" t="shared" si="24" ref="E57:E96">MATCH($C57,$D$146:$D$247,0)</f>
        <v>3</v>
      </c>
      <c r="F57" s="3">
        <f aca="true" t="shared" si="25" ref="F57:F96">MATCH($D57,$D$146:$D$247,0)</f>
        <v>9</v>
      </c>
      <c r="G57" s="22">
        <f aca="true" t="shared" si="26" ref="G57:G96">IF(INDEX($F$146:$F$247,$E57,1)="","",INDEX($F$146:$F$247,$E57,1))</f>
        <v>0.95</v>
      </c>
      <c r="H57" s="22">
        <f aca="true" t="shared" si="27" ref="H57:H96">IF(INDEX($F$146:$F$247,$F57,1)="","",INDEX($F$146:$F$247,$F57,1))</f>
        <v>3.95</v>
      </c>
      <c r="I57" s="23">
        <f aca="true" t="shared" si="28" ref="I57:I96">IF(INDEX($E$146:$E$247,$E57,1)="","",INDEX($E$146:$E$247,$E57,1))</f>
        <v>1</v>
      </c>
      <c r="J57" s="23">
        <f aca="true" t="shared" si="29" ref="J57:J96">IF(INDEX($E$146:$E$247,$F57,1)="","",INDEX($E$146:$E$247,$F57,1))</f>
        <v>2</v>
      </c>
      <c r="K57" s="3" t="str">
        <f aca="true" t="shared" si="30" ref="K57:K96">C57&amp;D57</f>
        <v>LiF</v>
      </c>
      <c r="L57" s="3">
        <f aca="true" t="shared" si="31" ref="L57:L96">ABS(G57-H57)</f>
        <v>3</v>
      </c>
      <c r="M57" s="3">
        <f aca="true" t="shared" si="32" ref="M57:M96">(I57+J57)/2</f>
        <v>1.5</v>
      </c>
      <c r="N57" s="21"/>
      <c r="O57" t="s">
        <v>582</v>
      </c>
      <c r="P57" t="s">
        <v>600</v>
      </c>
      <c r="Q57">
        <f t="shared" si="9"/>
        <v>24</v>
      </c>
      <c r="R57">
        <f t="shared" si="10"/>
        <v>51</v>
      </c>
      <c r="S57" s="17">
        <f t="shared" si="11"/>
        <v>1.6</v>
      </c>
      <c r="T57" s="17">
        <f t="shared" si="12"/>
        <v>1.8</v>
      </c>
      <c r="U57" s="18">
        <f t="shared" si="13"/>
        <v>3</v>
      </c>
      <c r="V57" s="18">
        <f t="shared" si="14"/>
        <v>5</v>
      </c>
      <c r="W57" t="str">
        <f t="shared" si="15"/>
        <v>CrSb</v>
      </c>
      <c r="X57">
        <f t="shared" si="16"/>
        <v>0.19999999999999996</v>
      </c>
      <c r="Y57">
        <f t="shared" si="17"/>
        <v>4</v>
      </c>
      <c r="AE57" s="17"/>
      <c r="AF57" s="17"/>
      <c r="AG57" s="18"/>
      <c r="AH57" s="18"/>
    </row>
    <row r="58" spans="2:27" ht="12.75">
      <c r="B58"/>
      <c r="C58" t="s">
        <v>601</v>
      </c>
      <c r="D58" t="s">
        <v>578</v>
      </c>
      <c r="E58" s="3">
        <f t="shared" si="24"/>
        <v>3</v>
      </c>
      <c r="F58" s="3">
        <f t="shared" si="25"/>
        <v>17</v>
      </c>
      <c r="G58" s="22">
        <f t="shared" si="26"/>
        <v>0.95</v>
      </c>
      <c r="H58" s="22">
        <f t="shared" si="27"/>
        <v>3</v>
      </c>
      <c r="I58" s="23">
        <f t="shared" si="28"/>
        <v>1</v>
      </c>
      <c r="J58" s="23">
        <f t="shared" si="29"/>
        <v>3</v>
      </c>
      <c r="K58" s="3" t="str">
        <f t="shared" si="30"/>
        <v>LiCl</v>
      </c>
      <c r="L58" s="3">
        <f t="shared" si="31"/>
        <v>2.05</v>
      </c>
      <c r="M58" s="3">
        <f t="shared" si="32"/>
        <v>2</v>
      </c>
      <c r="N58" s="21"/>
      <c r="O58" t="s">
        <v>594</v>
      </c>
      <c r="P58" t="s">
        <v>600</v>
      </c>
      <c r="Q58">
        <f t="shared" si="9"/>
        <v>27</v>
      </c>
      <c r="R58">
        <f t="shared" si="10"/>
        <v>51</v>
      </c>
      <c r="S58" s="17">
        <f t="shared" si="11"/>
        <v>1.7</v>
      </c>
      <c r="T58" s="17">
        <f t="shared" si="12"/>
        <v>1.8</v>
      </c>
      <c r="U58" s="18">
        <f t="shared" si="13"/>
        <v>3</v>
      </c>
      <c r="V58" s="18">
        <f t="shared" si="14"/>
        <v>5</v>
      </c>
      <c r="W58" t="str">
        <f t="shared" si="15"/>
        <v>CoSb</v>
      </c>
      <c r="X58">
        <f t="shared" si="16"/>
        <v>0.10000000000000009</v>
      </c>
      <c r="Y58">
        <f t="shared" si="17"/>
        <v>4</v>
      </c>
      <c r="AA58" t="s">
        <v>603</v>
      </c>
    </row>
    <row r="59" spans="2:37" ht="12.75">
      <c r="B59"/>
      <c r="C59" t="s">
        <v>601</v>
      </c>
      <c r="D59" t="s">
        <v>580</v>
      </c>
      <c r="E59" s="3">
        <f t="shared" si="24"/>
        <v>3</v>
      </c>
      <c r="F59" s="3">
        <f t="shared" si="25"/>
        <v>35</v>
      </c>
      <c r="G59" s="22">
        <f t="shared" si="26"/>
        <v>0.95</v>
      </c>
      <c r="H59" s="22">
        <f t="shared" si="27"/>
        <v>2.8</v>
      </c>
      <c r="I59" s="23">
        <f t="shared" si="28"/>
        <v>1</v>
      </c>
      <c r="J59" s="23">
        <f t="shared" si="29"/>
        <v>4</v>
      </c>
      <c r="K59" s="3" t="str">
        <f t="shared" si="30"/>
        <v>LiBr</v>
      </c>
      <c r="L59" s="3">
        <f t="shared" si="31"/>
        <v>1.8499999999999999</v>
      </c>
      <c r="M59" s="3">
        <f t="shared" si="32"/>
        <v>2.5</v>
      </c>
      <c r="O59" t="s">
        <v>596</v>
      </c>
      <c r="P59" t="s">
        <v>593</v>
      </c>
      <c r="Q59">
        <f t="shared" si="9"/>
        <v>28</v>
      </c>
      <c r="R59">
        <f t="shared" si="10"/>
        <v>33</v>
      </c>
      <c r="S59" s="17">
        <f t="shared" si="11"/>
        <v>1.8</v>
      </c>
      <c r="T59" s="17">
        <f t="shared" si="12"/>
        <v>2</v>
      </c>
      <c r="U59" s="18">
        <f t="shared" si="13"/>
        <v>3</v>
      </c>
      <c r="V59" s="18">
        <f t="shared" si="14"/>
        <v>4</v>
      </c>
      <c r="W59" t="str">
        <f t="shared" si="15"/>
        <v>NiAs</v>
      </c>
      <c r="X59">
        <f t="shared" si="16"/>
        <v>0.19999999999999996</v>
      </c>
      <c r="Y59">
        <f t="shared" si="17"/>
        <v>3.5</v>
      </c>
      <c r="AA59" t="s">
        <v>598</v>
      </c>
      <c r="AB59" t="s">
        <v>571</v>
      </c>
      <c r="AC59">
        <f>MATCH(AA59,$D$146:$D$247,0)</f>
        <v>82</v>
      </c>
      <c r="AD59">
        <f>MATCH(AB59,$D$146:$D$247,0)</f>
        <v>8</v>
      </c>
      <c r="AE59" s="17">
        <f>IF(INDEX($F$146:$F$247,AC59,1)="","",INDEX($F$146:$F$247,AC59,1))</f>
        <v>1.6</v>
      </c>
      <c r="AF59" s="17">
        <f>IF(INDEX($F$146:$F$247,AD59,1)="","",INDEX($F$146:$F$247,AD59,1))</f>
        <v>3.5</v>
      </c>
      <c r="AG59" s="18">
        <f>IF(INDEX($E$146:$E$247,AC59,1)="","",INDEX($E$146:$E$247,AC59,1))</f>
        <v>6</v>
      </c>
      <c r="AH59" s="18">
        <f>IF(INDEX($E$146:$E$247,AD59,1)="","",INDEX($E$146:$E$247,AD59,1))</f>
        <v>2</v>
      </c>
      <c r="AI59" t="str">
        <f>AA59&amp;AB59</f>
        <v>PbO</v>
      </c>
      <c r="AJ59">
        <f>ABS(AE59-AF59)</f>
        <v>1.9</v>
      </c>
      <c r="AK59">
        <f>(AG59+AH59)/2</f>
        <v>4</v>
      </c>
    </row>
    <row r="60" spans="2:37" ht="12.75">
      <c r="B60"/>
      <c r="C60" t="s">
        <v>601</v>
      </c>
      <c r="D60" t="s">
        <v>584</v>
      </c>
      <c r="E60" s="3">
        <f t="shared" si="24"/>
        <v>3</v>
      </c>
      <c r="F60" s="3">
        <f t="shared" si="25"/>
        <v>53</v>
      </c>
      <c r="G60" s="22">
        <f t="shared" si="26"/>
        <v>0.95</v>
      </c>
      <c r="H60" s="22">
        <f t="shared" si="27"/>
        <v>2.55</v>
      </c>
      <c r="I60" s="23">
        <f t="shared" si="28"/>
        <v>1</v>
      </c>
      <c r="J60" s="23">
        <f t="shared" si="29"/>
        <v>5</v>
      </c>
      <c r="K60" s="3" t="str">
        <f t="shared" si="30"/>
        <v>LiI</v>
      </c>
      <c r="L60" s="3">
        <f t="shared" si="31"/>
        <v>1.5999999999999999</v>
      </c>
      <c r="M60" s="3">
        <f t="shared" si="32"/>
        <v>3</v>
      </c>
      <c r="O60" t="s">
        <v>604</v>
      </c>
      <c r="P60" t="s">
        <v>593</v>
      </c>
      <c r="Q60">
        <f t="shared" si="9"/>
        <v>25</v>
      </c>
      <c r="R60">
        <f t="shared" si="10"/>
        <v>33</v>
      </c>
      <c r="S60" s="17">
        <f t="shared" si="11"/>
        <v>1.4</v>
      </c>
      <c r="T60" s="17">
        <f t="shared" si="12"/>
        <v>2</v>
      </c>
      <c r="U60" s="18">
        <f t="shared" si="13"/>
        <v>3</v>
      </c>
      <c r="V60" s="18">
        <f t="shared" si="14"/>
        <v>4</v>
      </c>
      <c r="W60" t="str">
        <f t="shared" si="15"/>
        <v>MnAs</v>
      </c>
      <c r="X60">
        <f t="shared" si="16"/>
        <v>0.6000000000000001</v>
      </c>
      <c r="Y60">
        <f t="shared" si="17"/>
        <v>3.5</v>
      </c>
      <c r="AA60" t="s">
        <v>605</v>
      </c>
      <c r="AB60" t="s">
        <v>606</v>
      </c>
      <c r="AC60">
        <f>MATCH(AA60,$D$146:$D$247,0)</f>
        <v>29</v>
      </c>
      <c r="AD60">
        <f>MATCH(AB60,$D$146:$D$247,0)</f>
        <v>1</v>
      </c>
      <c r="AE60" s="17">
        <f>IF(INDEX($F$146:$F$247,AC60,1)="","",INDEX($F$146:$F$247,AC60,1))</f>
        <v>1.8</v>
      </c>
      <c r="AF60" s="17">
        <f>IF(INDEX($F$146:$F$247,AD60,1)="","",INDEX($F$146:$F$247,AD60,1))</f>
        <v>2.15</v>
      </c>
      <c r="AG60" s="18">
        <f>IF(INDEX($E$146:$E$247,AC60,1)="","",INDEX($E$146:$E$247,AC60,1))</f>
        <v>3</v>
      </c>
      <c r="AH60" s="18">
        <f>IF(INDEX($E$146:$E$247,AD60,1)="","",INDEX($E$146:$E$247,AD60,1))</f>
        <v>1</v>
      </c>
      <c r="AI60" t="str">
        <f>AA60&amp;AB60</f>
        <v>CuH</v>
      </c>
      <c r="AJ60">
        <f>ABS(AE60-AF60)</f>
        <v>0.34999999999999987</v>
      </c>
      <c r="AK60">
        <f>(AG60+AH60)/2</f>
        <v>2</v>
      </c>
    </row>
    <row r="61" spans="2:34" ht="12.75">
      <c r="B61"/>
      <c r="C61" s="3" t="s">
        <v>607</v>
      </c>
      <c r="D61" t="s">
        <v>602</v>
      </c>
      <c r="E61" s="3">
        <f t="shared" si="24"/>
        <v>11</v>
      </c>
      <c r="F61" s="3">
        <f t="shared" si="25"/>
        <v>9</v>
      </c>
      <c r="G61" s="22">
        <f t="shared" si="26"/>
        <v>0.9</v>
      </c>
      <c r="H61" s="22">
        <f t="shared" si="27"/>
        <v>3.95</v>
      </c>
      <c r="I61" s="23">
        <f t="shared" si="28"/>
        <v>2</v>
      </c>
      <c r="J61" s="23">
        <f t="shared" si="29"/>
        <v>2</v>
      </c>
      <c r="K61" s="3" t="str">
        <f t="shared" si="30"/>
        <v>NaF</v>
      </c>
      <c r="L61" s="3">
        <f t="shared" si="31"/>
        <v>3.0500000000000003</v>
      </c>
      <c r="M61" s="3">
        <f t="shared" si="32"/>
        <v>2</v>
      </c>
      <c r="O61" t="s">
        <v>585</v>
      </c>
      <c r="P61" t="s">
        <v>593</v>
      </c>
      <c r="Q61">
        <f t="shared" si="9"/>
        <v>26</v>
      </c>
      <c r="R61">
        <f t="shared" si="10"/>
        <v>33</v>
      </c>
      <c r="S61" s="17">
        <f t="shared" si="11"/>
        <v>1.7</v>
      </c>
      <c r="T61" s="17">
        <f t="shared" si="12"/>
        <v>2</v>
      </c>
      <c r="U61" s="18">
        <f t="shared" si="13"/>
        <v>3</v>
      </c>
      <c r="V61" s="18">
        <f t="shared" si="14"/>
        <v>4</v>
      </c>
      <c r="W61" t="str">
        <f t="shared" si="15"/>
        <v>FeAs</v>
      </c>
      <c r="X61">
        <f t="shared" si="16"/>
        <v>0.30000000000000004</v>
      </c>
      <c r="Y61">
        <f t="shared" si="17"/>
        <v>3.5</v>
      </c>
      <c r="AE61" s="17"/>
      <c r="AF61" s="17"/>
      <c r="AG61" s="18"/>
      <c r="AH61" s="18"/>
    </row>
    <row r="62" spans="3:34" ht="12.75">
      <c r="C62" s="3" t="s">
        <v>607</v>
      </c>
      <c r="D62" t="s">
        <v>578</v>
      </c>
      <c r="E62" s="3">
        <f t="shared" si="24"/>
        <v>11</v>
      </c>
      <c r="F62" s="3">
        <f t="shared" si="25"/>
        <v>17</v>
      </c>
      <c r="G62" s="22">
        <f t="shared" si="26"/>
        <v>0.9</v>
      </c>
      <c r="H62" s="22">
        <f t="shared" si="27"/>
        <v>3</v>
      </c>
      <c r="I62" s="23">
        <f t="shared" si="28"/>
        <v>2</v>
      </c>
      <c r="J62" s="23">
        <f t="shared" si="29"/>
        <v>3</v>
      </c>
      <c r="K62" s="3" t="str">
        <f t="shared" si="30"/>
        <v>NaCl</v>
      </c>
      <c r="L62" s="3">
        <f t="shared" si="31"/>
        <v>2.1</v>
      </c>
      <c r="M62" s="3">
        <f t="shared" si="32"/>
        <v>2.5</v>
      </c>
      <c r="O62" t="s">
        <v>594</v>
      </c>
      <c r="P62" t="s">
        <v>593</v>
      </c>
      <c r="Q62">
        <f t="shared" si="9"/>
        <v>27</v>
      </c>
      <c r="R62">
        <f t="shared" si="10"/>
        <v>33</v>
      </c>
      <c r="S62" s="17">
        <f t="shared" si="11"/>
        <v>1.7</v>
      </c>
      <c r="T62" s="17">
        <f t="shared" si="12"/>
        <v>2</v>
      </c>
      <c r="U62" s="18">
        <f t="shared" si="13"/>
        <v>3</v>
      </c>
      <c r="V62" s="18">
        <f t="shared" si="14"/>
        <v>4</v>
      </c>
      <c r="W62" t="str">
        <f t="shared" si="15"/>
        <v>CoAs</v>
      </c>
      <c r="X62">
        <f t="shared" si="16"/>
        <v>0.30000000000000004</v>
      </c>
      <c r="Y62">
        <f t="shared" si="17"/>
        <v>3.5</v>
      </c>
      <c r="AA62" t="s">
        <v>608</v>
      </c>
      <c r="AE62" s="17"/>
      <c r="AF62" s="17"/>
      <c r="AG62" s="18"/>
      <c r="AH62" s="18"/>
    </row>
    <row r="63" spans="3:37" ht="12.75">
      <c r="C63" s="3" t="s">
        <v>607</v>
      </c>
      <c r="D63" t="s">
        <v>580</v>
      </c>
      <c r="E63" s="3">
        <f t="shared" si="24"/>
        <v>11</v>
      </c>
      <c r="F63" s="3">
        <f t="shared" si="25"/>
        <v>35</v>
      </c>
      <c r="G63" s="22">
        <f t="shared" si="26"/>
        <v>0.9</v>
      </c>
      <c r="H63" s="22">
        <f t="shared" si="27"/>
        <v>2.8</v>
      </c>
      <c r="I63" s="23">
        <f t="shared" si="28"/>
        <v>2</v>
      </c>
      <c r="J63" s="23">
        <f t="shared" si="29"/>
        <v>4</v>
      </c>
      <c r="K63" s="3" t="str">
        <f t="shared" si="30"/>
        <v>NaBr</v>
      </c>
      <c r="L63" s="3">
        <f t="shared" si="31"/>
        <v>1.9</v>
      </c>
      <c r="M63" s="3">
        <f t="shared" si="32"/>
        <v>3</v>
      </c>
      <c r="O63" t="s">
        <v>582</v>
      </c>
      <c r="P63" t="s">
        <v>592</v>
      </c>
      <c r="Q63">
        <f t="shared" si="9"/>
        <v>24</v>
      </c>
      <c r="R63">
        <f t="shared" si="10"/>
        <v>34</v>
      </c>
      <c r="S63" s="17">
        <f t="shared" si="11"/>
        <v>1.6</v>
      </c>
      <c r="T63" s="17">
        <f t="shared" si="12"/>
        <v>2.4</v>
      </c>
      <c r="U63" s="18">
        <f t="shared" si="13"/>
        <v>3</v>
      </c>
      <c r="V63" s="18">
        <f t="shared" si="14"/>
        <v>4</v>
      </c>
      <c r="W63" t="str">
        <f t="shared" si="15"/>
        <v>CrSe</v>
      </c>
      <c r="X63">
        <f t="shared" si="16"/>
        <v>0.7999999999999998</v>
      </c>
      <c r="Y63">
        <f t="shared" si="17"/>
        <v>3.5</v>
      </c>
      <c r="AC63" s="330" t="s">
        <v>564</v>
      </c>
      <c r="AD63" s="330"/>
      <c r="AE63" s="7" t="s">
        <v>715</v>
      </c>
      <c r="AF63" s="7" t="s">
        <v>716</v>
      </c>
      <c r="AG63" s="8" t="s">
        <v>565</v>
      </c>
      <c r="AH63" s="8"/>
      <c r="AI63" s="6" t="s">
        <v>566</v>
      </c>
      <c r="AJ63" s="10" t="s">
        <v>567</v>
      </c>
      <c r="AK63" s="11" t="s">
        <v>568</v>
      </c>
    </row>
    <row r="64" spans="3:37" ht="12.75">
      <c r="C64" s="3" t="s">
        <v>607</v>
      </c>
      <c r="D64" t="s">
        <v>584</v>
      </c>
      <c r="E64" s="3">
        <f t="shared" si="24"/>
        <v>11</v>
      </c>
      <c r="F64" s="3">
        <f t="shared" si="25"/>
        <v>53</v>
      </c>
      <c r="G64" s="22">
        <f t="shared" si="26"/>
        <v>0.9</v>
      </c>
      <c r="H64" s="22">
        <f t="shared" si="27"/>
        <v>2.55</v>
      </c>
      <c r="I64" s="23">
        <f t="shared" si="28"/>
        <v>2</v>
      </c>
      <c r="J64" s="23">
        <f t="shared" si="29"/>
        <v>5</v>
      </c>
      <c r="K64" s="3" t="str">
        <f t="shared" si="30"/>
        <v>NaI</v>
      </c>
      <c r="L64" s="3">
        <f t="shared" si="31"/>
        <v>1.65</v>
      </c>
      <c r="M64" s="3">
        <f t="shared" si="32"/>
        <v>3.5</v>
      </c>
      <c r="S64" s="17"/>
      <c r="T64" s="17"/>
      <c r="U64" s="18"/>
      <c r="V64" s="18"/>
      <c r="AA64" t="s">
        <v>601</v>
      </c>
      <c r="AB64" t="s">
        <v>606</v>
      </c>
      <c r="AC64">
        <f aca="true" t="shared" si="33" ref="AC64:AD68">MATCH(AA64,$D$146:$D$247,0)</f>
        <v>3</v>
      </c>
      <c r="AD64">
        <f t="shared" si="33"/>
        <v>1</v>
      </c>
      <c r="AE64" s="17">
        <f aca="true" t="shared" si="34" ref="AE64:AF68">IF(INDEX($F$146:$F$247,AC64,1)="","",INDEX($F$146:$F$247,AC64,1))</f>
        <v>0.95</v>
      </c>
      <c r="AF64" s="17">
        <f t="shared" si="34"/>
        <v>2.15</v>
      </c>
      <c r="AG64" s="18">
        <f aca="true" t="shared" si="35" ref="AG64:AH68">IF(INDEX($E$146:$E$247,AC64,1)="","",INDEX($E$146:$E$247,AC64,1))</f>
        <v>1</v>
      </c>
      <c r="AH64" s="18">
        <f t="shared" si="35"/>
        <v>1</v>
      </c>
      <c r="AI64" t="str">
        <f>AA64&amp;AB64</f>
        <v>LiH</v>
      </c>
      <c r="AJ64">
        <f>ABS(AE64-AF64)</f>
        <v>1.2</v>
      </c>
      <c r="AK64">
        <f>(AG64+AH64)/2</f>
        <v>1</v>
      </c>
    </row>
    <row r="65" spans="3:37" ht="12.75">
      <c r="C65" s="1" t="s">
        <v>609</v>
      </c>
      <c r="D65" t="s">
        <v>602</v>
      </c>
      <c r="E65" s="3">
        <f t="shared" si="24"/>
        <v>19</v>
      </c>
      <c r="F65" s="3">
        <f t="shared" si="25"/>
        <v>9</v>
      </c>
      <c r="G65" s="22">
        <f t="shared" si="26"/>
        <v>0.8</v>
      </c>
      <c r="H65" s="22">
        <f t="shared" si="27"/>
        <v>3.95</v>
      </c>
      <c r="I65" s="23">
        <f t="shared" si="28"/>
        <v>3</v>
      </c>
      <c r="J65" s="23">
        <f t="shared" si="29"/>
        <v>2</v>
      </c>
      <c r="K65" s="3" t="str">
        <f t="shared" si="30"/>
        <v>KF</v>
      </c>
      <c r="L65" s="3">
        <f t="shared" si="31"/>
        <v>3.1500000000000004</v>
      </c>
      <c r="M65" s="3">
        <f t="shared" si="32"/>
        <v>2.5</v>
      </c>
      <c r="O65" t="s">
        <v>610</v>
      </c>
      <c r="AA65" t="s">
        <v>607</v>
      </c>
      <c r="AB65" t="s">
        <v>606</v>
      </c>
      <c r="AC65">
        <f t="shared" si="33"/>
        <v>11</v>
      </c>
      <c r="AD65">
        <f t="shared" si="33"/>
        <v>1</v>
      </c>
      <c r="AE65" s="17">
        <f t="shared" si="34"/>
        <v>0.9</v>
      </c>
      <c r="AF65" s="17">
        <f t="shared" si="34"/>
        <v>2.15</v>
      </c>
      <c r="AG65" s="18">
        <f t="shared" si="35"/>
        <v>2</v>
      </c>
      <c r="AH65" s="18">
        <f t="shared" si="35"/>
        <v>1</v>
      </c>
      <c r="AI65" t="str">
        <f>AA65&amp;AB65</f>
        <v>NaH</v>
      </c>
      <c r="AJ65">
        <f>ABS(AE65-AF65)</f>
        <v>1.25</v>
      </c>
      <c r="AK65">
        <f>(AG65+AH65)/2</f>
        <v>1.5</v>
      </c>
    </row>
    <row r="66" spans="3:37" ht="12.75">
      <c r="C66" s="1" t="s">
        <v>609</v>
      </c>
      <c r="D66" t="s">
        <v>578</v>
      </c>
      <c r="E66" s="3">
        <f t="shared" si="24"/>
        <v>19</v>
      </c>
      <c r="F66" s="3">
        <f t="shared" si="25"/>
        <v>17</v>
      </c>
      <c r="G66" s="22">
        <f t="shared" si="26"/>
        <v>0.8</v>
      </c>
      <c r="H66" s="22">
        <f t="shared" si="27"/>
        <v>3</v>
      </c>
      <c r="I66" s="23">
        <f t="shared" si="28"/>
        <v>3</v>
      </c>
      <c r="J66" s="23">
        <f t="shared" si="29"/>
        <v>3</v>
      </c>
      <c r="K66" s="3" t="str">
        <f t="shared" si="30"/>
        <v>KCl</v>
      </c>
      <c r="L66" s="3">
        <f t="shared" si="31"/>
        <v>2.2</v>
      </c>
      <c r="M66" s="3">
        <f t="shared" si="32"/>
        <v>3</v>
      </c>
      <c r="O66" t="s">
        <v>604</v>
      </c>
      <c r="P66" t="s">
        <v>583</v>
      </c>
      <c r="Q66">
        <f aca="true" t="shared" si="36" ref="Q66:Q97">MATCH(O66,$D$146:$D$247,0)</f>
        <v>25</v>
      </c>
      <c r="R66">
        <f aca="true" t="shared" si="37" ref="R66:R97">MATCH(P66,$D$146:$D$247,0)</f>
        <v>16</v>
      </c>
      <c r="S66" s="17">
        <f aca="true" t="shared" si="38" ref="S66:S97">IF(INDEX($F$146:$F$247,Q66,1)="","",INDEX($F$146:$F$247,Q66,1))</f>
        <v>1.4</v>
      </c>
      <c r="T66" s="17">
        <f aca="true" t="shared" si="39" ref="T66:T97">IF(INDEX($F$146:$F$247,R66,1)="","",INDEX($F$146:$F$247,R66,1))</f>
        <v>2.5</v>
      </c>
      <c r="U66" s="18">
        <f aca="true" t="shared" si="40" ref="U66:U97">IF(INDEX($E$146:$E$247,Q66,1)="","",INDEX($E$146:$E$247,Q66,1))</f>
        <v>3</v>
      </c>
      <c r="V66" s="18">
        <f aca="true" t="shared" si="41" ref="V66:V97">IF(INDEX($E$146:$E$247,R66,1)="","",INDEX($E$146:$E$247,R66,1))</f>
        <v>3</v>
      </c>
      <c r="W66" t="str">
        <f aca="true" t="shared" si="42" ref="W66:W97">O66&amp;P66</f>
        <v>MnS</v>
      </c>
      <c r="X66">
        <f aca="true" t="shared" si="43" ref="X66:X97">ABS(S66-T66)</f>
        <v>1.1</v>
      </c>
      <c r="Y66">
        <f aca="true" t="shared" si="44" ref="Y66:Y97">(U66+V66)/2</f>
        <v>3</v>
      </c>
      <c r="AA66" t="s">
        <v>609</v>
      </c>
      <c r="AB66" t="s">
        <v>606</v>
      </c>
      <c r="AC66">
        <f t="shared" si="33"/>
        <v>19</v>
      </c>
      <c r="AD66">
        <f t="shared" si="33"/>
        <v>1</v>
      </c>
      <c r="AE66" s="17">
        <f t="shared" si="34"/>
        <v>0.8</v>
      </c>
      <c r="AF66" s="17">
        <f t="shared" si="34"/>
        <v>2.15</v>
      </c>
      <c r="AG66" s="18">
        <f t="shared" si="35"/>
        <v>3</v>
      </c>
      <c r="AH66" s="18">
        <f t="shared" si="35"/>
        <v>1</v>
      </c>
      <c r="AI66" t="str">
        <f>AA66&amp;AB66</f>
        <v>KH</v>
      </c>
      <c r="AJ66">
        <f>ABS(AE66-AF66)</f>
        <v>1.3499999999999999</v>
      </c>
      <c r="AK66">
        <f>(AG66+AH66)/2</f>
        <v>2</v>
      </c>
    </row>
    <row r="67" spans="3:37" ht="12.75">
      <c r="C67" s="1" t="s">
        <v>609</v>
      </c>
      <c r="D67" t="s">
        <v>580</v>
      </c>
      <c r="E67" s="3">
        <f t="shared" si="24"/>
        <v>19</v>
      </c>
      <c r="F67" s="3">
        <f t="shared" si="25"/>
        <v>35</v>
      </c>
      <c r="G67" s="22">
        <f t="shared" si="26"/>
        <v>0.8</v>
      </c>
      <c r="H67" s="22">
        <f t="shared" si="27"/>
        <v>2.8</v>
      </c>
      <c r="I67" s="23">
        <f t="shared" si="28"/>
        <v>3</v>
      </c>
      <c r="J67" s="23">
        <f t="shared" si="29"/>
        <v>4</v>
      </c>
      <c r="K67" s="3" t="str">
        <f t="shared" si="30"/>
        <v>KBr</v>
      </c>
      <c r="L67" s="3">
        <f t="shared" si="31"/>
        <v>1.9999999999999998</v>
      </c>
      <c r="M67" s="3">
        <f t="shared" si="32"/>
        <v>3.5</v>
      </c>
      <c r="O67" t="s">
        <v>604</v>
      </c>
      <c r="P67" t="s">
        <v>592</v>
      </c>
      <c r="Q67">
        <f t="shared" si="36"/>
        <v>25</v>
      </c>
      <c r="R67">
        <f t="shared" si="37"/>
        <v>34</v>
      </c>
      <c r="S67" s="17">
        <f t="shared" si="38"/>
        <v>1.4</v>
      </c>
      <c r="T67" s="17">
        <f t="shared" si="39"/>
        <v>2.4</v>
      </c>
      <c r="U67" s="18">
        <f t="shared" si="40"/>
        <v>3</v>
      </c>
      <c r="V67" s="18">
        <f t="shared" si="41"/>
        <v>4</v>
      </c>
      <c r="W67" t="str">
        <f t="shared" si="42"/>
        <v>MnSe</v>
      </c>
      <c r="X67">
        <f t="shared" si="43"/>
        <v>1</v>
      </c>
      <c r="Y67">
        <f t="shared" si="44"/>
        <v>3.5</v>
      </c>
      <c r="AA67" t="s">
        <v>588</v>
      </c>
      <c r="AB67" t="s">
        <v>606</v>
      </c>
      <c r="AC67">
        <f t="shared" si="33"/>
        <v>37</v>
      </c>
      <c r="AD67">
        <f t="shared" si="33"/>
        <v>1</v>
      </c>
      <c r="AE67" s="17">
        <f t="shared" si="34"/>
        <v>0.8</v>
      </c>
      <c r="AF67" s="17">
        <f t="shared" si="34"/>
        <v>2.15</v>
      </c>
      <c r="AG67" s="18">
        <f t="shared" si="35"/>
        <v>4</v>
      </c>
      <c r="AH67" s="18">
        <f t="shared" si="35"/>
        <v>1</v>
      </c>
      <c r="AI67" t="str">
        <f>AA67&amp;AB67</f>
        <v>RbH</v>
      </c>
      <c r="AJ67">
        <f>ABS(AE67-AF67)</f>
        <v>1.3499999999999999</v>
      </c>
      <c r="AK67">
        <f>(AG67+AH67)/2</f>
        <v>2.5</v>
      </c>
    </row>
    <row r="68" spans="3:37" ht="12.75">
      <c r="C68" s="1" t="s">
        <v>609</v>
      </c>
      <c r="D68" t="s">
        <v>584</v>
      </c>
      <c r="E68" s="3">
        <f t="shared" si="24"/>
        <v>19</v>
      </c>
      <c r="F68" s="3">
        <f t="shared" si="25"/>
        <v>53</v>
      </c>
      <c r="G68" s="22">
        <f t="shared" si="26"/>
        <v>0.8</v>
      </c>
      <c r="H68" s="22">
        <f t="shared" si="27"/>
        <v>2.55</v>
      </c>
      <c r="I68" s="23">
        <f t="shared" si="28"/>
        <v>3</v>
      </c>
      <c r="J68" s="23">
        <f t="shared" si="29"/>
        <v>5</v>
      </c>
      <c r="K68" s="3" t="str">
        <f t="shared" si="30"/>
        <v>KI</v>
      </c>
      <c r="L68" s="3">
        <f t="shared" si="31"/>
        <v>1.7499999999999998</v>
      </c>
      <c r="M68" s="3">
        <f t="shared" si="32"/>
        <v>4</v>
      </c>
      <c r="O68" t="s">
        <v>604</v>
      </c>
      <c r="P68" t="s">
        <v>571</v>
      </c>
      <c r="Q68">
        <f t="shared" si="36"/>
        <v>25</v>
      </c>
      <c r="R68">
        <f t="shared" si="37"/>
        <v>8</v>
      </c>
      <c r="S68" s="17">
        <f t="shared" si="38"/>
        <v>1.4</v>
      </c>
      <c r="T68" s="17">
        <f t="shared" si="39"/>
        <v>3.5</v>
      </c>
      <c r="U68" s="18">
        <f t="shared" si="40"/>
        <v>3</v>
      </c>
      <c r="V68" s="18">
        <f t="shared" si="41"/>
        <v>2</v>
      </c>
      <c r="W68" t="str">
        <f t="shared" si="42"/>
        <v>MnO</v>
      </c>
      <c r="X68">
        <f t="shared" si="43"/>
        <v>2.1</v>
      </c>
      <c r="Y68">
        <f t="shared" si="44"/>
        <v>2.5</v>
      </c>
      <c r="AA68" s="3" t="s">
        <v>577</v>
      </c>
      <c r="AB68" s="3" t="s">
        <v>606</v>
      </c>
      <c r="AC68">
        <f t="shared" si="33"/>
        <v>55</v>
      </c>
      <c r="AD68">
        <f t="shared" si="33"/>
        <v>1</v>
      </c>
      <c r="AE68" s="17">
        <f t="shared" si="34"/>
        <v>0.75</v>
      </c>
      <c r="AF68" s="17">
        <f t="shared" si="34"/>
        <v>2.15</v>
      </c>
      <c r="AG68" s="18">
        <f t="shared" si="35"/>
        <v>5</v>
      </c>
      <c r="AH68" s="18">
        <f t="shared" si="35"/>
        <v>1</v>
      </c>
      <c r="AI68" t="str">
        <f>AA68&amp;AB68</f>
        <v>CsH</v>
      </c>
      <c r="AJ68">
        <f>ABS(AE68-AF68)</f>
        <v>1.4</v>
      </c>
      <c r="AK68">
        <f>(AG68+AH68)/2</f>
        <v>3</v>
      </c>
    </row>
    <row r="69" spans="3:28" ht="12.75">
      <c r="C69" s="1" t="s">
        <v>588</v>
      </c>
      <c r="D69" t="s">
        <v>602</v>
      </c>
      <c r="E69" s="3">
        <f t="shared" si="24"/>
        <v>37</v>
      </c>
      <c r="F69" s="3">
        <f t="shared" si="25"/>
        <v>9</v>
      </c>
      <c r="G69" s="22">
        <f t="shared" si="26"/>
        <v>0.8</v>
      </c>
      <c r="H69" s="22">
        <f t="shared" si="27"/>
        <v>3.95</v>
      </c>
      <c r="I69" s="23">
        <f t="shared" si="28"/>
        <v>4</v>
      </c>
      <c r="J69" s="23">
        <f t="shared" si="29"/>
        <v>2</v>
      </c>
      <c r="K69" s="3" t="str">
        <f t="shared" si="30"/>
        <v>RbF</v>
      </c>
      <c r="L69" s="3">
        <f t="shared" si="31"/>
        <v>3.1500000000000004</v>
      </c>
      <c r="M69" s="3">
        <f t="shared" si="32"/>
        <v>3</v>
      </c>
      <c r="O69" t="s">
        <v>570</v>
      </c>
      <c r="P69" t="s">
        <v>571</v>
      </c>
      <c r="Q69">
        <f t="shared" si="36"/>
        <v>22</v>
      </c>
      <c r="R69">
        <f t="shared" si="37"/>
        <v>8</v>
      </c>
      <c r="S69" s="17">
        <f t="shared" si="38"/>
        <v>1.6</v>
      </c>
      <c r="T69" s="17">
        <f t="shared" si="39"/>
        <v>3.5</v>
      </c>
      <c r="U69" s="18">
        <f t="shared" si="40"/>
        <v>3</v>
      </c>
      <c r="V69" s="18">
        <f t="shared" si="41"/>
        <v>2</v>
      </c>
      <c r="W69" t="str">
        <f t="shared" si="42"/>
        <v>TiO</v>
      </c>
      <c r="X69">
        <f t="shared" si="43"/>
        <v>1.9</v>
      </c>
      <c r="Y69">
        <f t="shared" si="44"/>
        <v>2.5</v>
      </c>
      <c r="AA69" s="3"/>
      <c r="AB69" s="3"/>
    </row>
    <row r="70" spans="3:25" ht="12.75">
      <c r="C70" s="1" t="s">
        <v>588</v>
      </c>
      <c r="D70" t="s">
        <v>578</v>
      </c>
      <c r="E70" s="3">
        <f t="shared" si="24"/>
        <v>37</v>
      </c>
      <c r="F70" s="3">
        <f t="shared" si="25"/>
        <v>17</v>
      </c>
      <c r="G70" s="22">
        <f t="shared" si="26"/>
        <v>0.8</v>
      </c>
      <c r="H70" s="22">
        <f t="shared" si="27"/>
        <v>3</v>
      </c>
      <c r="I70" s="23">
        <f t="shared" si="28"/>
        <v>4</v>
      </c>
      <c r="J70" s="23">
        <f t="shared" si="29"/>
        <v>3</v>
      </c>
      <c r="K70" s="3" t="str">
        <f t="shared" si="30"/>
        <v>RbCl</v>
      </c>
      <c r="L70" s="3">
        <f t="shared" si="31"/>
        <v>2.2</v>
      </c>
      <c r="M70" s="3">
        <f t="shared" si="32"/>
        <v>3.5</v>
      </c>
      <c r="O70" t="s">
        <v>611</v>
      </c>
      <c r="P70" t="s">
        <v>571</v>
      </c>
      <c r="Q70">
        <f t="shared" si="36"/>
        <v>40</v>
      </c>
      <c r="R70">
        <f t="shared" si="37"/>
        <v>8</v>
      </c>
      <c r="S70" s="17">
        <f t="shared" si="38"/>
        <v>1.5</v>
      </c>
      <c r="T70" s="17">
        <f t="shared" si="39"/>
        <v>3.5</v>
      </c>
      <c r="U70" s="18">
        <f t="shared" si="40"/>
        <v>4</v>
      </c>
      <c r="V70" s="18">
        <f t="shared" si="41"/>
        <v>2</v>
      </c>
      <c r="W70" t="str">
        <f t="shared" si="42"/>
        <v>ZrO</v>
      </c>
      <c r="X70">
        <f t="shared" si="43"/>
        <v>2</v>
      </c>
      <c r="Y70">
        <f t="shared" si="44"/>
        <v>3</v>
      </c>
    </row>
    <row r="71" spans="3:25" ht="12.75">
      <c r="C71" s="1" t="s">
        <v>588</v>
      </c>
      <c r="D71" t="s">
        <v>580</v>
      </c>
      <c r="E71" s="3">
        <f t="shared" si="24"/>
        <v>37</v>
      </c>
      <c r="F71" s="3">
        <f t="shared" si="25"/>
        <v>35</v>
      </c>
      <c r="G71" s="22">
        <f t="shared" si="26"/>
        <v>0.8</v>
      </c>
      <c r="H71" s="22">
        <f t="shared" si="27"/>
        <v>2.8</v>
      </c>
      <c r="I71" s="23">
        <f t="shared" si="28"/>
        <v>4</v>
      </c>
      <c r="J71" s="23">
        <f t="shared" si="29"/>
        <v>4</v>
      </c>
      <c r="K71" s="3" t="str">
        <f t="shared" si="30"/>
        <v>RbBr</v>
      </c>
      <c r="L71" s="3">
        <f t="shared" si="31"/>
        <v>1.9999999999999998</v>
      </c>
      <c r="M71" s="3">
        <f t="shared" si="32"/>
        <v>4</v>
      </c>
      <c r="O71" t="s">
        <v>612</v>
      </c>
      <c r="P71" t="s">
        <v>571</v>
      </c>
      <c r="Q71">
        <f t="shared" si="36"/>
        <v>72</v>
      </c>
      <c r="R71">
        <f t="shared" si="37"/>
        <v>8</v>
      </c>
      <c r="S71" s="17">
        <f t="shared" si="38"/>
        <v>1.4</v>
      </c>
      <c r="T71" s="17">
        <f t="shared" si="39"/>
        <v>3.5</v>
      </c>
      <c r="U71" s="18">
        <f t="shared" si="40"/>
        <v>5</v>
      </c>
      <c r="V71" s="18">
        <f t="shared" si="41"/>
        <v>2</v>
      </c>
      <c r="W71" t="str">
        <f t="shared" si="42"/>
        <v>HfO</v>
      </c>
      <c r="X71">
        <f t="shared" si="43"/>
        <v>2.1</v>
      </c>
      <c r="Y71">
        <f t="shared" si="44"/>
        <v>3.5</v>
      </c>
    </row>
    <row r="72" spans="3:25" ht="12.75">
      <c r="C72" s="1" t="s">
        <v>588</v>
      </c>
      <c r="D72" t="s">
        <v>584</v>
      </c>
      <c r="E72" s="3">
        <f t="shared" si="24"/>
        <v>37</v>
      </c>
      <c r="F72" s="3">
        <f t="shared" si="25"/>
        <v>53</v>
      </c>
      <c r="G72" s="22">
        <f t="shared" si="26"/>
        <v>0.8</v>
      </c>
      <c r="H72" s="22">
        <f t="shared" si="27"/>
        <v>2.55</v>
      </c>
      <c r="I72" s="23">
        <f t="shared" si="28"/>
        <v>4</v>
      </c>
      <c r="J72" s="23">
        <f t="shared" si="29"/>
        <v>5</v>
      </c>
      <c r="K72" s="3" t="str">
        <f t="shared" si="30"/>
        <v>RbI</v>
      </c>
      <c r="L72" s="3">
        <f t="shared" si="31"/>
        <v>1.7499999999999998</v>
      </c>
      <c r="M72" s="3">
        <f t="shared" si="32"/>
        <v>4.5</v>
      </c>
      <c r="O72" t="s">
        <v>589</v>
      </c>
      <c r="P72" t="s">
        <v>571</v>
      </c>
      <c r="Q72">
        <f t="shared" si="36"/>
        <v>23</v>
      </c>
      <c r="R72">
        <f t="shared" si="37"/>
        <v>8</v>
      </c>
      <c r="S72" s="17">
        <f t="shared" si="38"/>
        <v>1.7</v>
      </c>
      <c r="T72" s="17">
        <f t="shared" si="39"/>
        <v>3.5</v>
      </c>
      <c r="U72" s="18">
        <f t="shared" si="40"/>
        <v>3</v>
      </c>
      <c r="V72" s="18">
        <f t="shared" si="41"/>
        <v>2</v>
      </c>
      <c r="W72" t="str">
        <f t="shared" si="42"/>
        <v>VO</v>
      </c>
      <c r="X72">
        <f t="shared" si="43"/>
        <v>1.8</v>
      </c>
      <c r="Y72">
        <f t="shared" si="44"/>
        <v>2.5</v>
      </c>
    </row>
    <row r="73" spans="3:25" ht="12.75">
      <c r="C73" s="1" t="s">
        <v>577</v>
      </c>
      <c r="D73" t="s">
        <v>602</v>
      </c>
      <c r="E73" s="3">
        <f t="shared" si="24"/>
        <v>55</v>
      </c>
      <c r="F73" s="3">
        <f t="shared" si="25"/>
        <v>9</v>
      </c>
      <c r="G73" s="22">
        <f t="shared" si="26"/>
        <v>0.75</v>
      </c>
      <c r="H73" s="22">
        <f t="shared" si="27"/>
        <v>3.95</v>
      </c>
      <c r="I73" s="23">
        <f t="shared" si="28"/>
        <v>5</v>
      </c>
      <c r="J73" s="23">
        <f t="shared" si="29"/>
        <v>2</v>
      </c>
      <c r="K73" s="3" t="str">
        <f t="shared" si="30"/>
        <v>CsF</v>
      </c>
      <c r="L73" s="3">
        <f t="shared" si="31"/>
        <v>3.2</v>
      </c>
      <c r="M73" s="3">
        <f t="shared" si="32"/>
        <v>3.5</v>
      </c>
      <c r="O73" t="s">
        <v>613</v>
      </c>
      <c r="P73" t="s">
        <v>571</v>
      </c>
      <c r="Q73">
        <f t="shared" si="36"/>
        <v>41</v>
      </c>
      <c r="R73">
        <f t="shared" si="37"/>
        <v>8</v>
      </c>
      <c r="S73" s="17">
        <f t="shared" si="38"/>
        <v>1.7</v>
      </c>
      <c r="T73" s="17">
        <f t="shared" si="39"/>
        <v>3.5</v>
      </c>
      <c r="U73" s="18">
        <f t="shared" si="40"/>
        <v>4</v>
      </c>
      <c r="V73" s="18">
        <f t="shared" si="41"/>
        <v>2</v>
      </c>
      <c r="W73" t="str">
        <f t="shared" si="42"/>
        <v>NbO</v>
      </c>
      <c r="X73">
        <f t="shared" si="43"/>
        <v>1.8</v>
      </c>
      <c r="Y73">
        <f t="shared" si="44"/>
        <v>3</v>
      </c>
    </row>
    <row r="74" spans="3:25" ht="12.75">
      <c r="C74" t="s">
        <v>578</v>
      </c>
      <c r="D74" t="s">
        <v>578</v>
      </c>
      <c r="E74" s="3">
        <f t="shared" si="24"/>
        <v>17</v>
      </c>
      <c r="F74" s="3">
        <f t="shared" si="25"/>
        <v>17</v>
      </c>
      <c r="G74" s="22">
        <f t="shared" si="26"/>
        <v>3</v>
      </c>
      <c r="H74" s="22">
        <f t="shared" si="27"/>
        <v>3</v>
      </c>
      <c r="I74" s="23">
        <f t="shared" si="28"/>
        <v>3</v>
      </c>
      <c r="J74" s="23">
        <f t="shared" si="29"/>
        <v>3</v>
      </c>
      <c r="K74" s="3" t="str">
        <f t="shared" si="30"/>
        <v>ClCl</v>
      </c>
      <c r="L74" s="3">
        <f t="shared" si="31"/>
        <v>0</v>
      </c>
      <c r="M74" s="3">
        <f t="shared" si="32"/>
        <v>3</v>
      </c>
      <c r="O74" t="s">
        <v>614</v>
      </c>
      <c r="P74" t="s">
        <v>571</v>
      </c>
      <c r="Q74">
        <f t="shared" si="36"/>
        <v>73</v>
      </c>
      <c r="R74">
        <f t="shared" si="37"/>
        <v>8</v>
      </c>
      <c r="S74" s="17">
        <f t="shared" si="38"/>
        <v>1.3</v>
      </c>
      <c r="T74" s="17">
        <f t="shared" si="39"/>
        <v>3.5</v>
      </c>
      <c r="U74" s="18">
        <f t="shared" si="40"/>
        <v>5</v>
      </c>
      <c r="V74" s="18">
        <f t="shared" si="41"/>
        <v>2</v>
      </c>
      <c r="W74" t="str">
        <f t="shared" si="42"/>
        <v>TaO</v>
      </c>
      <c r="X74">
        <f t="shared" si="43"/>
        <v>2.2</v>
      </c>
      <c r="Y74">
        <f t="shared" si="44"/>
        <v>3.5</v>
      </c>
    </row>
    <row r="75" spans="3:25" ht="12.75">
      <c r="C75" t="s">
        <v>615</v>
      </c>
      <c r="D75" t="s">
        <v>602</v>
      </c>
      <c r="E75" s="3">
        <f t="shared" si="24"/>
        <v>47</v>
      </c>
      <c r="F75" s="3">
        <f t="shared" si="25"/>
        <v>9</v>
      </c>
      <c r="G75" s="22">
        <f t="shared" si="26"/>
        <v>1.8</v>
      </c>
      <c r="H75" s="22">
        <f t="shared" si="27"/>
        <v>3.95</v>
      </c>
      <c r="I75" s="23">
        <f t="shared" si="28"/>
        <v>4</v>
      </c>
      <c r="J75" s="23">
        <f t="shared" si="29"/>
        <v>2</v>
      </c>
      <c r="K75" s="3" t="str">
        <f t="shared" si="30"/>
        <v>AgF</v>
      </c>
      <c r="L75" s="3">
        <f t="shared" si="31"/>
        <v>2.1500000000000004</v>
      </c>
      <c r="M75" s="3">
        <f t="shared" si="32"/>
        <v>3</v>
      </c>
      <c r="O75" t="s">
        <v>585</v>
      </c>
      <c r="P75" t="s">
        <v>571</v>
      </c>
      <c r="Q75">
        <f t="shared" si="36"/>
        <v>26</v>
      </c>
      <c r="R75">
        <f t="shared" si="37"/>
        <v>8</v>
      </c>
      <c r="S75" s="17">
        <f t="shared" si="38"/>
        <v>1.7</v>
      </c>
      <c r="T75" s="17">
        <f t="shared" si="39"/>
        <v>3.5</v>
      </c>
      <c r="U75" s="18">
        <f t="shared" si="40"/>
        <v>3</v>
      </c>
      <c r="V75" s="18">
        <f t="shared" si="41"/>
        <v>2</v>
      </c>
      <c r="W75" t="str">
        <f t="shared" si="42"/>
        <v>FeO</v>
      </c>
      <c r="X75">
        <f t="shared" si="43"/>
        <v>1.8</v>
      </c>
      <c r="Y75">
        <f t="shared" si="44"/>
        <v>2.5</v>
      </c>
    </row>
    <row r="76" spans="3:25" ht="12.75">
      <c r="C76" t="s">
        <v>615</v>
      </c>
      <c r="D76" t="s">
        <v>578</v>
      </c>
      <c r="E76" s="3">
        <f t="shared" si="24"/>
        <v>47</v>
      </c>
      <c r="F76" s="3">
        <f t="shared" si="25"/>
        <v>17</v>
      </c>
      <c r="G76" s="22">
        <f t="shared" si="26"/>
        <v>1.8</v>
      </c>
      <c r="H76" s="22">
        <f t="shared" si="27"/>
        <v>3</v>
      </c>
      <c r="I76" s="23">
        <f t="shared" si="28"/>
        <v>4</v>
      </c>
      <c r="J76" s="23">
        <f t="shared" si="29"/>
        <v>3</v>
      </c>
      <c r="K76" s="3" t="str">
        <f t="shared" si="30"/>
        <v>AgCl</v>
      </c>
      <c r="L76" s="3">
        <f t="shared" si="31"/>
        <v>1.2</v>
      </c>
      <c r="M76" s="3">
        <f t="shared" si="32"/>
        <v>3.5</v>
      </c>
      <c r="O76" t="s">
        <v>594</v>
      </c>
      <c r="P76" t="s">
        <v>571</v>
      </c>
      <c r="Q76">
        <f t="shared" si="36"/>
        <v>27</v>
      </c>
      <c r="R76">
        <f t="shared" si="37"/>
        <v>8</v>
      </c>
      <c r="S76" s="17">
        <f t="shared" si="38"/>
        <v>1.7</v>
      </c>
      <c r="T76" s="17">
        <f t="shared" si="39"/>
        <v>3.5</v>
      </c>
      <c r="U76" s="18">
        <f t="shared" si="40"/>
        <v>3</v>
      </c>
      <c r="V76" s="18">
        <f t="shared" si="41"/>
        <v>2</v>
      </c>
      <c r="W76" t="str">
        <f t="shared" si="42"/>
        <v>CoO</v>
      </c>
      <c r="X76">
        <f t="shared" si="43"/>
        <v>1.8</v>
      </c>
      <c r="Y76">
        <f t="shared" si="44"/>
        <v>2.5</v>
      </c>
    </row>
    <row r="77" spans="3:25" ht="12.75">
      <c r="C77" t="s">
        <v>615</v>
      </c>
      <c r="D77" t="s">
        <v>580</v>
      </c>
      <c r="E77" s="3">
        <f t="shared" si="24"/>
        <v>47</v>
      </c>
      <c r="F77" s="3">
        <f t="shared" si="25"/>
        <v>35</v>
      </c>
      <c r="G77" s="22">
        <f t="shared" si="26"/>
        <v>1.8</v>
      </c>
      <c r="H77" s="22">
        <f t="shared" si="27"/>
        <v>2.8</v>
      </c>
      <c r="I77" s="23">
        <f t="shared" si="28"/>
        <v>4</v>
      </c>
      <c r="J77" s="23">
        <f t="shared" si="29"/>
        <v>4</v>
      </c>
      <c r="K77" s="3" t="str">
        <f t="shared" si="30"/>
        <v>AgBr</v>
      </c>
      <c r="L77" s="3">
        <f t="shared" si="31"/>
        <v>0.9999999999999998</v>
      </c>
      <c r="M77" s="3">
        <f t="shared" si="32"/>
        <v>4</v>
      </c>
      <c r="O77" t="s">
        <v>596</v>
      </c>
      <c r="P77" t="s">
        <v>571</v>
      </c>
      <c r="Q77">
        <f t="shared" si="36"/>
        <v>28</v>
      </c>
      <c r="R77">
        <f t="shared" si="37"/>
        <v>8</v>
      </c>
      <c r="S77" s="17">
        <f t="shared" si="38"/>
        <v>1.8</v>
      </c>
      <c r="T77" s="17">
        <f t="shared" si="39"/>
        <v>3.5</v>
      </c>
      <c r="U77" s="18">
        <f t="shared" si="40"/>
        <v>3</v>
      </c>
      <c r="V77" s="18">
        <f t="shared" si="41"/>
        <v>2</v>
      </c>
      <c r="W77" t="str">
        <f t="shared" si="42"/>
        <v>NiO</v>
      </c>
      <c r="X77">
        <f t="shared" si="43"/>
        <v>1.7</v>
      </c>
      <c r="Y77">
        <f t="shared" si="44"/>
        <v>2.5</v>
      </c>
    </row>
    <row r="78" spans="2:25" ht="12.75">
      <c r="B78" s="21" t="s">
        <v>581</v>
      </c>
      <c r="C78" t="s">
        <v>616</v>
      </c>
      <c r="D78" t="s">
        <v>583</v>
      </c>
      <c r="E78" s="3">
        <f t="shared" si="24"/>
        <v>20</v>
      </c>
      <c r="F78" s="3">
        <f t="shared" si="25"/>
        <v>16</v>
      </c>
      <c r="G78" s="22">
        <f t="shared" si="26"/>
        <v>1</v>
      </c>
      <c r="H78" s="22">
        <f t="shared" si="27"/>
        <v>2.5</v>
      </c>
      <c r="I78" s="23">
        <f t="shared" si="28"/>
        <v>3</v>
      </c>
      <c r="J78" s="23">
        <f t="shared" si="29"/>
        <v>3</v>
      </c>
      <c r="K78" s="3" t="str">
        <f t="shared" si="30"/>
        <v>CaS</v>
      </c>
      <c r="L78" s="3">
        <f t="shared" si="31"/>
        <v>1.5</v>
      </c>
      <c r="M78" s="3">
        <f t="shared" si="32"/>
        <v>3</v>
      </c>
      <c r="O78" t="s">
        <v>617</v>
      </c>
      <c r="P78" t="s">
        <v>571</v>
      </c>
      <c r="Q78">
        <f t="shared" si="36"/>
        <v>91</v>
      </c>
      <c r="R78">
        <f t="shared" si="37"/>
        <v>8</v>
      </c>
      <c r="S78" s="17">
        <f t="shared" si="38"/>
        <v>1.3</v>
      </c>
      <c r="T78" s="17">
        <f t="shared" si="39"/>
        <v>3.5</v>
      </c>
      <c r="U78" s="18">
        <f t="shared" si="40"/>
        <v>6</v>
      </c>
      <c r="V78" s="18">
        <f t="shared" si="41"/>
        <v>2</v>
      </c>
      <c r="W78" t="str">
        <f t="shared" si="42"/>
        <v>PaO</v>
      </c>
      <c r="X78">
        <f t="shared" si="43"/>
        <v>2.2</v>
      </c>
      <c r="Y78">
        <f t="shared" si="44"/>
        <v>4</v>
      </c>
    </row>
    <row r="79" spans="3:25" ht="12.75">
      <c r="C79" t="s">
        <v>618</v>
      </c>
      <c r="D79" t="s">
        <v>571</v>
      </c>
      <c r="E79" s="3">
        <f t="shared" si="24"/>
        <v>12</v>
      </c>
      <c r="F79" s="3">
        <f t="shared" si="25"/>
        <v>8</v>
      </c>
      <c r="G79" s="22">
        <f t="shared" si="26"/>
        <v>1.2</v>
      </c>
      <c r="H79" s="22">
        <f t="shared" si="27"/>
        <v>3.5</v>
      </c>
      <c r="I79" s="23">
        <f t="shared" si="28"/>
        <v>2</v>
      </c>
      <c r="J79" s="23">
        <f t="shared" si="29"/>
        <v>2</v>
      </c>
      <c r="K79" s="3" t="str">
        <f t="shared" si="30"/>
        <v>MgO</v>
      </c>
      <c r="L79" s="3">
        <f t="shared" si="31"/>
        <v>2.3</v>
      </c>
      <c r="M79" s="3">
        <f t="shared" si="32"/>
        <v>2</v>
      </c>
      <c r="O79" t="s">
        <v>619</v>
      </c>
      <c r="P79" t="s">
        <v>571</v>
      </c>
      <c r="Q79">
        <f t="shared" si="36"/>
        <v>63</v>
      </c>
      <c r="R79">
        <f t="shared" si="37"/>
        <v>8</v>
      </c>
      <c r="S79" s="17">
        <f t="shared" si="38"/>
        <v>1.1</v>
      </c>
      <c r="T79" s="17">
        <f t="shared" si="39"/>
        <v>3.5</v>
      </c>
      <c r="U79" s="18">
        <f t="shared" si="40"/>
        <v>5</v>
      </c>
      <c r="V79" s="18">
        <f t="shared" si="41"/>
        <v>2</v>
      </c>
      <c r="W79" t="str">
        <f t="shared" si="42"/>
        <v>EuO</v>
      </c>
      <c r="X79">
        <f t="shared" si="43"/>
        <v>2.4</v>
      </c>
      <c r="Y79">
        <f t="shared" si="44"/>
        <v>3.5</v>
      </c>
    </row>
    <row r="80" spans="3:25" ht="12.75">
      <c r="C80" t="s">
        <v>618</v>
      </c>
      <c r="D80" t="s">
        <v>583</v>
      </c>
      <c r="E80" s="3">
        <f t="shared" si="24"/>
        <v>12</v>
      </c>
      <c r="F80" s="3">
        <f t="shared" si="25"/>
        <v>16</v>
      </c>
      <c r="G80" s="22">
        <f t="shared" si="26"/>
        <v>1.2</v>
      </c>
      <c r="H80" s="22">
        <f t="shared" si="27"/>
        <v>2.5</v>
      </c>
      <c r="I80" s="23">
        <f t="shared" si="28"/>
        <v>2</v>
      </c>
      <c r="J80" s="23">
        <f t="shared" si="29"/>
        <v>3</v>
      </c>
      <c r="K80" s="3" t="str">
        <f t="shared" si="30"/>
        <v>MgS</v>
      </c>
      <c r="L80" s="3">
        <f t="shared" si="31"/>
        <v>1.3</v>
      </c>
      <c r="M80" s="3">
        <f t="shared" si="32"/>
        <v>2.5</v>
      </c>
      <c r="O80" t="s">
        <v>620</v>
      </c>
      <c r="P80" t="s">
        <v>571</v>
      </c>
      <c r="Q80">
        <f t="shared" si="36"/>
        <v>95</v>
      </c>
      <c r="R80">
        <f t="shared" si="37"/>
        <v>8</v>
      </c>
      <c r="S80" s="17">
        <f t="shared" si="38"/>
        <v>1.3</v>
      </c>
      <c r="T80" s="17">
        <f t="shared" si="39"/>
        <v>3.5</v>
      </c>
      <c r="U80" s="18">
        <f t="shared" si="40"/>
        <v>6</v>
      </c>
      <c r="V80" s="18">
        <f t="shared" si="41"/>
        <v>2</v>
      </c>
      <c r="W80" t="str">
        <f t="shared" si="42"/>
        <v>AmO</v>
      </c>
      <c r="X80">
        <f t="shared" si="43"/>
        <v>2.2</v>
      </c>
      <c r="Y80">
        <f t="shared" si="44"/>
        <v>4</v>
      </c>
    </row>
    <row r="81" spans="3:25" ht="12.75">
      <c r="C81" t="s">
        <v>618</v>
      </c>
      <c r="D81" t="s">
        <v>592</v>
      </c>
      <c r="E81" s="3">
        <f t="shared" si="24"/>
        <v>12</v>
      </c>
      <c r="F81" s="3">
        <f t="shared" si="25"/>
        <v>34</v>
      </c>
      <c r="G81" s="22">
        <f t="shared" si="26"/>
        <v>1.2</v>
      </c>
      <c r="H81" s="22">
        <f t="shared" si="27"/>
        <v>2.4</v>
      </c>
      <c r="I81" s="23">
        <f t="shared" si="28"/>
        <v>2</v>
      </c>
      <c r="J81" s="23">
        <f t="shared" si="29"/>
        <v>4</v>
      </c>
      <c r="K81" s="3" t="str">
        <f t="shared" si="30"/>
        <v>MgSe</v>
      </c>
      <c r="L81" s="3">
        <f t="shared" si="31"/>
        <v>1.2</v>
      </c>
      <c r="M81" s="3">
        <f t="shared" si="32"/>
        <v>3</v>
      </c>
      <c r="O81" t="s">
        <v>621</v>
      </c>
      <c r="P81" t="s">
        <v>622</v>
      </c>
      <c r="Q81">
        <f t="shared" si="36"/>
        <v>21</v>
      </c>
      <c r="R81">
        <f t="shared" si="37"/>
        <v>7</v>
      </c>
      <c r="S81" s="17">
        <f t="shared" si="38"/>
        <v>1.3</v>
      </c>
      <c r="T81" s="17">
        <f t="shared" si="39"/>
        <v>3</v>
      </c>
      <c r="U81" s="18">
        <f t="shared" si="40"/>
        <v>3</v>
      </c>
      <c r="V81" s="18">
        <f t="shared" si="41"/>
        <v>2</v>
      </c>
      <c r="W81" t="str">
        <f t="shared" si="42"/>
        <v>ScN</v>
      </c>
      <c r="X81">
        <f t="shared" si="43"/>
        <v>1.7</v>
      </c>
      <c r="Y81">
        <f t="shared" si="44"/>
        <v>2.5</v>
      </c>
    </row>
    <row r="82" spans="3:25" ht="12.75">
      <c r="C82" t="s">
        <v>616</v>
      </c>
      <c r="D82" t="s">
        <v>571</v>
      </c>
      <c r="E82" s="3">
        <f t="shared" si="24"/>
        <v>20</v>
      </c>
      <c r="F82" s="3">
        <f t="shared" si="25"/>
        <v>8</v>
      </c>
      <c r="G82" s="22">
        <f t="shared" si="26"/>
        <v>1</v>
      </c>
      <c r="H82" s="22">
        <f t="shared" si="27"/>
        <v>3.5</v>
      </c>
      <c r="I82" s="23">
        <f t="shared" si="28"/>
        <v>3</v>
      </c>
      <c r="J82" s="23">
        <f t="shared" si="29"/>
        <v>2</v>
      </c>
      <c r="K82" s="3" t="str">
        <f t="shared" si="30"/>
        <v>CaO</v>
      </c>
      <c r="L82" s="3">
        <f t="shared" si="31"/>
        <v>2.5</v>
      </c>
      <c r="M82" s="3">
        <f t="shared" si="32"/>
        <v>2.5</v>
      </c>
      <c r="O82" t="s">
        <v>623</v>
      </c>
      <c r="P82" t="s">
        <v>622</v>
      </c>
      <c r="Q82">
        <f t="shared" si="36"/>
        <v>39</v>
      </c>
      <c r="R82">
        <f t="shared" si="37"/>
        <v>7</v>
      </c>
      <c r="S82" s="17">
        <f t="shared" si="38"/>
        <v>1.2</v>
      </c>
      <c r="T82" s="17">
        <f t="shared" si="39"/>
        <v>3</v>
      </c>
      <c r="U82" s="18">
        <f t="shared" si="40"/>
        <v>4</v>
      </c>
      <c r="V82" s="18">
        <f t="shared" si="41"/>
        <v>2</v>
      </c>
      <c r="W82" t="str">
        <f t="shared" si="42"/>
        <v>YN</v>
      </c>
      <c r="X82">
        <f t="shared" si="43"/>
        <v>1.8</v>
      </c>
      <c r="Y82">
        <f t="shared" si="44"/>
        <v>3</v>
      </c>
    </row>
    <row r="83" spans="3:25" ht="12.75">
      <c r="C83" t="s">
        <v>616</v>
      </c>
      <c r="D83" t="s">
        <v>583</v>
      </c>
      <c r="E83" s="3">
        <f t="shared" si="24"/>
        <v>20</v>
      </c>
      <c r="F83" s="3">
        <f t="shared" si="25"/>
        <v>16</v>
      </c>
      <c r="G83" s="22">
        <f t="shared" si="26"/>
        <v>1</v>
      </c>
      <c r="H83" s="22">
        <f t="shared" si="27"/>
        <v>2.5</v>
      </c>
      <c r="I83" s="23">
        <f t="shared" si="28"/>
        <v>3</v>
      </c>
      <c r="J83" s="23">
        <f t="shared" si="29"/>
        <v>3</v>
      </c>
      <c r="K83" s="3" t="str">
        <f t="shared" si="30"/>
        <v>CaS</v>
      </c>
      <c r="L83" s="3">
        <f t="shared" si="31"/>
        <v>1.5</v>
      </c>
      <c r="M83" s="3">
        <f t="shared" si="32"/>
        <v>3</v>
      </c>
      <c r="O83" t="s">
        <v>570</v>
      </c>
      <c r="P83" t="s">
        <v>622</v>
      </c>
      <c r="Q83">
        <f t="shared" si="36"/>
        <v>22</v>
      </c>
      <c r="R83">
        <f t="shared" si="37"/>
        <v>7</v>
      </c>
      <c r="S83" s="17">
        <f t="shared" si="38"/>
        <v>1.6</v>
      </c>
      <c r="T83" s="17">
        <f t="shared" si="39"/>
        <v>3</v>
      </c>
      <c r="U83" s="18">
        <f t="shared" si="40"/>
        <v>3</v>
      </c>
      <c r="V83" s="18">
        <f t="shared" si="41"/>
        <v>2</v>
      </c>
      <c r="W83" t="str">
        <f t="shared" si="42"/>
        <v>TiN</v>
      </c>
      <c r="X83">
        <f t="shared" si="43"/>
        <v>1.4</v>
      </c>
      <c r="Y83">
        <f t="shared" si="44"/>
        <v>2.5</v>
      </c>
    </row>
    <row r="84" spans="3:25" ht="12.75">
      <c r="C84" t="s">
        <v>616</v>
      </c>
      <c r="D84" t="s">
        <v>592</v>
      </c>
      <c r="E84" s="3">
        <f t="shared" si="24"/>
        <v>20</v>
      </c>
      <c r="F84" s="3">
        <f t="shared" si="25"/>
        <v>34</v>
      </c>
      <c r="G84" s="22">
        <f t="shared" si="26"/>
        <v>1</v>
      </c>
      <c r="H84" s="22">
        <f t="shared" si="27"/>
        <v>2.4</v>
      </c>
      <c r="I84" s="23">
        <f t="shared" si="28"/>
        <v>3</v>
      </c>
      <c r="J84" s="23">
        <f t="shared" si="29"/>
        <v>4</v>
      </c>
      <c r="K84" s="3" t="str">
        <f t="shared" si="30"/>
        <v>CaSe</v>
      </c>
      <c r="L84" s="3">
        <f t="shared" si="31"/>
        <v>1.4</v>
      </c>
      <c r="M84" s="3">
        <f t="shared" si="32"/>
        <v>3.5</v>
      </c>
      <c r="O84" t="s">
        <v>611</v>
      </c>
      <c r="P84" t="s">
        <v>622</v>
      </c>
      <c r="Q84">
        <f t="shared" si="36"/>
        <v>40</v>
      </c>
      <c r="R84">
        <f t="shared" si="37"/>
        <v>7</v>
      </c>
      <c r="S84" s="17">
        <f t="shared" si="38"/>
        <v>1.5</v>
      </c>
      <c r="T84" s="17">
        <f t="shared" si="39"/>
        <v>3</v>
      </c>
      <c r="U84" s="18">
        <f t="shared" si="40"/>
        <v>4</v>
      </c>
      <c r="V84" s="18">
        <f t="shared" si="41"/>
        <v>2</v>
      </c>
      <c r="W84" t="str">
        <f t="shared" si="42"/>
        <v>ZrN</v>
      </c>
      <c r="X84">
        <f t="shared" si="43"/>
        <v>1.5</v>
      </c>
      <c r="Y84">
        <f t="shared" si="44"/>
        <v>3</v>
      </c>
    </row>
    <row r="85" spans="3:25" ht="12.75">
      <c r="C85" t="s">
        <v>616</v>
      </c>
      <c r="D85" t="s">
        <v>595</v>
      </c>
      <c r="E85" s="3">
        <f t="shared" si="24"/>
        <v>20</v>
      </c>
      <c r="F85" s="3">
        <f t="shared" si="25"/>
        <v>52</v>
      </c>
      <c r="G85" s="22">
        <f t="shared" si="26"/>
        <v>1</v>
      </c>
      <c r="H85" s="22">
        <f t="shared" si="27"/>
        <v>2.1</v>
      </c>
      <c r="I85" s="23">
        <f t="shared" si="28"/>
        <v>3</v>
      </c>
      <c r="J85" s="23">
        <f t="shared" si="29"/>
        <v>5</v>
      </c>
      <c r="K85" s="3" t="str">
        <f t="shared" si="30"/>
        <v>CaTe</v>
      </c>
      <c r="L85" s="3">
        <f t="shared" si="31"/>
        <v>1.1</v>
      </c>
      <c r="M85" s="3">
        <f t="shared" si="32"/>
        <v>4</v>
      </c>
      <c r="O85" t="s">
        <v>589</v>
      </c>
      <c r="P85" t="s">
        <v>622</v>
      </c>
      <c r="Q85">
        <f t="shared" si="36"/>
        <v>23</v>
      </c>
      <c r="R85">
        <f t="shared" si="37"/>
        <v>7</v>
      </c>
      <c r="S85" s="17">
        <f t="shared" si="38"/>
        <v>1.7</v>
      </c>
      <c r="T85" s="17">
        <f t="shared" si="39"/>
        <v>3</v>
      </c>
      <c r="U85" s="18">
        <f t="shared" si="40"/>
        <v>3</v>
      </c>
      <c r="V85" s="18">
        <f t="shared" si="41"/>
        <v>2</v>
      </c>
      <c r="W85" t="str">
        <f t="shared" si="42"/>
        <v>VN</v>
      </c>
      <c r="X85">
        <f t="shared" si="43"/>
        <v>1.3</v>
      </c>
      <c r="Y85">
        <f t="shared" si="44"/>
        <v>2.5</v>
      </c>
    </row>
    <row r="86" spans="3:25" ht="12.75">
      <c r="C86" t="s">
        <v>624</v>
      </c>
      <c r="D86" t="s">
        <v>571</v>
      </c>
      <c r="E86" s="3">
        <f t="shared" si="24"/>
        <v>38</v>
      </c>
      <c r="F86" s="3">
        <f t="shared" si="25"/>
        <v>8</v>
      </c>
      <c r="G86" s="22">
        <f t="shared" si="26"/>
        <v>1</v>
      </c>
      <c r="H86" s="22">
        <f t="shared" si="27"/>
        <v>3.5</v>
      </c>
      <c r="I86" s="23">
        <f t="shared" si="28"/>
        <v>4</v>
      </c>
      <c r="J86" s="23">
        <f t="shared" si="29"/>
        <v>2</v>
      </c>
      <c r="K86" s="3" t="str">
        <f t="shared" si="30"/>
        <v>SrO</v>
      </c>
      <c r="L86" s="3">
        <f t="shared" si="31"/>
        <v>2.5</v>
      </c>
      <c r="M86" s="3">
        <f t="shared" si="32"/>
        <v>3</v>
      </c>
      <c r="O86" t="s">
        <v>613</v>
      </c>
      <c r="P86" t="s">
        <v>622</v>
      </c>
      <c r="Q86">
        <f t="shared" si="36"/>
        <v>41</v>
      </c>
      <c r="R86">
        <f t="shared" si="37"/>
        <v>7</v>
      </c>
      <c r="S86" s="17">
        <f t="shared" si="38"/>
        <v>1.7</v>
      </c>
      <c r="T86" s="17">
        <f t="shared" si="39"/>
        <v>3</v>
      </c>
      <c r="U86" s="18">
        <f t="shared" si="40"/>
        <v>4</v>
      </c>
      <c r="V86" s="18">
        <f t="shared" si="41"/>
        <v>2</v>
      </c>
      <c r="W86" t="str">
        <f t="shared" si="42"/>
        <v>NbN</v>
      </c>
      <c r="X86">
        <f t="shared" si="43"/>
        <v>1.3</v>
      </c>
      <c r="Y86">
        <f t="shared" si="44"/>
        <v>3</v>
      </c>
    </row>
    <row r="87" spans="1:25" ht="12.75">
      <c r="A87" s="3"/>
      <c r="C87" t="s">
        <v>624</v>
      </c>
      <c r="D87" t="s">
        <v>583</v>
      </c>
      <c r="E87" s="3">
        <f t="shared" si="24"/>
        <v>38</v>
      </c>
      <c r="F87" s="3">
        <f t="shared" si="25"/>
        <v>16</v>
      </c>
      <c r="G87" s="22">
        <f t="shared" si="26"/>
        <v>1</v>
      </c>
      <c r="H87" s="22">
        <f t="shared" si="27"/>
        <v>2.5</v>
      </c>
      <c r="I87" s="23">
        <f t="shared" si="28"/>
        <v>4</v>
      </c>
      <c r="J87" s="23">
        <f t="shared" si="29"/>
        <v>3</v>
      </c>
      <c r="K87" s="3" t="str">
        <f t="shared" si="30"/>
        <v>SrS</v>
      </c>
      <c r="L87" s="3">
        <f t="shared" si="31"/>
        <v>1.5</v>
      </c>
      <c r="M87" s="3">
        <f t="shared" si="32"/>
        <v>3.5</v>
      </c>
      <c r="O87" t="s">
        <v>582</v>
      </c>
      <c r="P87" t="s">
        <v>622</v>
      </c>
      <c r="Q87">
        <f t="shared" si="36"/>
        <v>24</v>
      </c>
      <c r="R87">
        <f t="shared" si="37"/>
        <v>7</v>
      </c>
      <c r="S87" s="17">
        <f t="shared" si="38"/>
        <v>1.6</v>
      </c>
      <c r="T87" s="17">
        <f t="shared" si="39"/>
        <v>3</v>
      </c>
      <c r="U87" s="18">
        <f t="shared" si="40"/>
        <v>3</v>
      </c>
      <c r="V87" s="18">
        <f t="shared" si="41"/>
        <v>2</v>
      </c>
      <c r="W87" t="str">
        <f t="shared" si="42"/>
        <v>CrN</v>
      </c>
      <c r="X87">
        <f t="shared" si="43"/>
        <v>1.4</v>
      </c>
      <c r="Y87">
        <f t="shared" si="44"/>
        <v>2.5</v>
      </c>
    </row>
    <row r="88" spans="3:25" ht="12.75">
      <c r="C88" t="s">
        <v>624</v>
      </c>
      <c r="D88" t="s">
        <v>592</v>
      </c>
      <c r="E88" s="3">
        <f t="shared" si="24"/>
        <v>38</v>
      </c>
      <c r="F88" s="3">
        <f t="shared" si="25"/>
        <v>34</v>
      </c>
      <c r="G88" s="22">
        <f t="shared" si="26"/>
        <v>1</v>
      </c>
      <c r="H88" s="22">
        <f t="shared" si="27"/>
        <v>2.4</v>
      </c>
      <c r="I88" s="23">
        <f t="shared" si="28"/>
        <v>4</v>
      </c>
      <c r="J88" s="23">
        <f t="shared" si="29"/>
        <v>4</v>
      </c>
      <c r="K88" s="3" t="str">
        <f t="shared" si="30"/>
        <v>SrSe</v>
      </c>
      <c r="L88" s="3">
        <f t="shared" si="31"/>
        <v>1.4</v>
      </c>
      <c r="M88" s="3">
        <f t="shared" si="32"/>
        <v>4</v>
      </c>
      <c r="O88" t="s">
        <v>625</v>
      </c>
      <c r="P88" t="s">
        <v>622</v>
      </c>
      <c r="Q88">
        <f t="shared" si="36"/>
        <v>93</v>
      </c>
      <c r="R88">
        <f t="shared" si="37"/>
        <v>7</v>
      </c>
      <c r="S88" s="17">
        <f t="shared" si="38"/>
        <v>1.1</v>
      </c>
      <c r="T88" s="17">
        <f t="shared" si="39"/>
        <v>3</v>
      </c>
      <c r="U88" s="18">
        <f t="shared" si="40"/>
        <v>6</v>
      </c>
      <c r="V88" s="18">
        <f t="shared" si="41"/>
        <v>2</v>
      </c>
      <c r="W88" t="str">
        <f t="shared" si="42"/>
        <v>NpN</v>
      </c>
      <c r="X88">
        <f t="shared" si="43"/>
        <v>1.9</v>
      </c>
      <c r="Y88">
        <f t="shared" si="44"/>
        <v>4</v>
      </c>
    </row>
    <row r="89" spans="3:25" ht="12.75">
      <c r="C89" t="s">
        <v>624</v>
      </c>
      <c r="D89" t="s">
        <v>595</v>
      </c>
      <c r="E89" s="3">
        <f t="shared" si="24"/>
        <v>38</v>
      </c>
      <c r="F89" s="3">
        <f t="shared" si="25"/>
        <v>52</v>
      </c>
      <c r="G89" s="22">
        <f t="shared" si="26"/>
        <v>1</v>
      </c>
      <c r="H89" s="22">
        <f t="shared" si="27"/>
        <v>2.1</v>
      </c>
      <c r="I89" s="23">
        <f t="shared" si="28"/>
        <v>4</v>
      </c>
      <c r="J89" s="23">
        <f t="shared" si="29"/>
        <v>5</v>
      </c>
      <c r="K89" s="3" t="str">
        <f t="shared" si="30"/>
        <v>SrTe</v>
      </c>
      <c r="L89" s="3">
        <f t="shared" si="31"/>
        <v>1.1</v>
      </c>
      <c r="M89" s="3">
        <f t="shared" si="32"/>
        <v>4.5</v>
      </c>
      <c r="O89" t="s">
        <v>626</v>
      </c>
      <c r="P89" t="s">
        <v>622</v>
      </c>
      <c r="Q89">
        <f t="shared" si="36"/>
        <v>94</v>
      </c>
      <c r="R89">
        <f t="shared" si="37"/>
        <v>7</v>
      </c>
      <c r="S89" s="17">
        <f t="shared" si="38"/>
        <v>1.3</v>
      </c>
      <c r="T89" s="17">
        <f t="shared" si="39"/>
        <v>3</v>
      </c>
      <c r="U89" s="18">
        <f t="shared" si="40"/>
        <v>6</v>
      </c>
      <c r="V89" s="18">
        <f t="shared" si="41"/>
        <v>2</v>
      </c>
      <c r="W89" t="str">
        <f t="shared" si="42"/>
        <v>PuN</v>
      </c>
      <c r="X89">
        <f t="shared" si="43"/>
        <v>1.7</v>
      </c>
      <c r="Y89">
        <f t="shared" si="44"/>
        <v>4</v>
      </c>
    </row>
    <row r="90" spans="3:25" ht="12.75">
      <c r="C90" t="s">
        <v>627</v>
      </c>
      <c r="D90" t="s">
        <v>571</v>
      </c>
      <c r="E90" s="3">
        <f t="shared" si="24"/>
        <v>56</v>
      </c>
      <c r="F90" s="3">
        <f t="shared" si="25"/>
        <v>8</v>
      </c>
      <c r="G90" s="22">
        <f t="shared" si="26"/>
        <v>0.9</v>
      </c>
      <c r="H90" s="22">
        <f t="shared" si="27"/>
        <v>3.5</v>
      </c>
      <c r="I90" s="23">
        <f t="shared" si="28"/>
        <v>5</v>
      </c>
      <c r="J90" s="23">
        <f t="shared" si="29"/>
        <v>2</v>
      </c>
      <c r="K90" s="3" t="str">
        <f t="shared" si="30"/>
        <v>BaO</v>
      </c>
      <c r="L90" s="3">
        <f t="shared" si="31"/>
        <v>2.6</v>
      </c>
      <c r="M90" s="3">
        <f t="shared" si="32"/>
        <v>3.5</v>
      </c>
      <c r="O90" t="s">
        <v>628</v>
      </c>
      <c r="P90" t="s">
        <v>622</v>
      </c>
      <c r="Q90">
        <f t="shared" si="36"/>
        <v>90</v>
      </c>
      <c r="R90">
        <f t="shared" si="37"/>
        <v>7</v>
      </c>
      <c r="S90" s="17">
        <f t="shared" si="38"/>
        <v>1</v>
      </c>
      <c r="T90" s="17">
        <f t="shared" si="39"/>
        <v>3</v>
      </c>
      <c r="U90" s="18">
        <f t="shared" si="40"/>
        <v>6</v>
      </c>
      <c r="V90" s="18">
        <f t="shared" si="41"/>
        <v>2</v>
      </c>
      <c r="W90" t="str">
        <f t="shared" si="42"/>
        <v>ThN</v>
      </c>
      <c r="X90">
        <f t="shared" si="43"/>
        <v>2</v>
      </c>
      <c r="Y90">
        <f t="shared" si="44"/>
        <v>4</v>
      </c>
    </row>
    <row r="91" spans="3:25" ht="12.75">
      <c r="C91" t="s">
        <v>627</v>
      </c>
      <c r="D91" t="s">
        <v>583</v>
      </c>
      <c r="E91" s="3">
        <f t="shared" si="24"/>
        <v>56</v>
      </c>
      <c r="F91" s="3">
        <f t="shared" si="25"/>
        <v>16</v>
      </c>
      <c r="G91" s="22">
        <f t="shared" si="26"/>
        <v>0.9</v>
      </c>
      <c r="H91" s="22">
        <f t="shared" si="27"/>
        <v>2.5</v>
      </c>
      <c r="I91" s="23">
        <f t="shared" si="28"/>
        <v>5</v>
      </c>
      <c r="J91" s="23">
        <f t="shared" si="29"/>
        <v>3</v>
      </c>
      <c r="K91" s="3" t="str">
        <f t="shared" si="30"/>
        <v>BaS</v>
      </c>
      <c r="L91" s="3">
        <f t="shared" si="31"/>
        <v>1.6</v>
      </c>
      <c r="M91" s="3">
        <f t="shared" si="32"/>
        <v>4</v>
      </c>
      <c r="O91" t="s">
        <v>629</v>
      </c>
      <c r="P91" t="s">
        <v>622</v>
      </c>
      <c r="Q91">
        <f t="shared" si="36"/>
        <v>92</v>
      </c>
      <c r="R91">
        <f t="shared" si="37"/>
        <v>7</v>
      </c>
      <c r="S91" s="17">
        <f t="shared" si="38"/>
        <v>1.4</v>
      </c>
      <c r="T91" s="17">
        <f t="shared" si="39"/>
        <v>3</v>
      </c>
      <c r="U91" s="18">
        <f t="shared" si="40"/>
        <v>6</v>
      </c>
      <c r="V91" s="18">
        <f t="shared" si="41"/>
        <v>2</v>
      </c>
      <c r="W91" t="str">
        <f t="shared" si="42"/>
        <v>UN</v>
      </c>
      <c r="X91">
        <f t="shared" si="43"/>
        <v>1.6</v>
      </c>
      <c r="Y91">
        <f t="shared" si="44"/>
        <v>4</v>
      </c>
    </row>
    <row r="92" spans="3:25" ht="12.75">
      <c r="C92" t="s">
        <v>627</v>
      </c>
      <c r="D92" t="s">
        <v>592</v>
      </c>
      <c r="E92" s="3">
        <f t="shared" si="24"/>
        <v>56</v>
      </c>
      <c r="F92" s="3">
        <f t="shared" si="25"/>
        <v>34</v>
      </c>
      <c r="G92" s="22">
        <f t="shared" si="26"/>
        <v>0.9</v>
      </c>
      <c r="H92" s="22">
        <f t="shared" si="27"/>
        <v>2.4</v>
      </c>
      <c r="I92" s="23">
        <f t="shared" si="28"/>
        <v>5</v>
      </c>
      <c r="J92" s="23">
        <f t="shared" si="29"/>
        <v>4</v>
      </c>
      <c r="K92" s="3" t="str">
        <f t="shared" si="30"/>
        <v>BaSe</v>
      </c>
      <c r="L92" s="3">
        <f t="shared" si="31"/>
        <v>1.5</v>
      </c>
      <c r="M92" s="3">
        <f t="shared" si="32"/>
        <v>4.5</v>
      </c>
      <c r="O92" t="s">
        <v>570</v>
      </c>
      <c r="P92" t="s">
        <v>630</v>
      </c>
      <c r="Q92">
        <f t="shared" si="36"/>
        <v>22</v>
      </c>
      <c r="R92">
        <f t="shared" si="37"/>
        <v>6</v>
      </c>
      <c r="S92" s="17">
        <f t="shared" si="38"/>
        <v>1.6</v>
      </c>
      <c r="T92" s="17">
        <f t="shared" si="39"/>
        <v>2.5</v>
      </c>
      <c r="U92" s="18">
        <f t="shared" si="40"/>
        <v>3</v>
      </c>
      <c r="V92" s="18">
        <f t="shared" si="41"/>
        <v>2</v>
      </c>
      <c r="W92" t="str">
        <f t="shared" si="42"/>
        <v>TiC</v>
      </c>
      <c r="X92">
        <f t="shared" si="43"/>
        <v>0.8999999999999999</v>
      </c>
      <c r="Y92">
        <f t="shared" si="44"/>
        <v>2.5</v>
      </c>
    </row>
    <row r="93" spans="3:25" ht="12.75">
      <c r="C93" t="s">
        <v>627</v>
      </c>
      <c r="D93" t="s">
        <v>595</v>
      </c>
      <c r="E93" s="3">
        <f t="shared" si="24"/>
        <v>56</v>
      </c>
      <c r="F93" s="3">
        <f t="shared" si="25"/>
        <v>52</v>
      </c>
      <c r="G93" s="22">
        <f t="shared" si="26"/>
        <v>0.9</v>
      </c>
      <c r="H93" s="22">
        <f t="shared" si="27"/>
        <v>2.1</v>
      </c>
      <c r="I93" s="23">
        <f t="shared" si="28"/>
        <v>5</v>
      </c>
      <c r="J93" s="23">
        <f t="shared" si="29"/>
        <v>5</v>
      </c>
      <c r="K93" s="3" t="str">
        <f t="shared" si="30"/>
        <v>BaTe</v>
      </c>
      <c r="L93" s="3">
        <f t="shared" si="31"/>
        <v>1.2000000000000002</v>
      </c>
      <c r="M93" s="3">
        <f t="shared" si="32"/>
        <v>5</v>
      </c>
      <c r="O93" t="s">
        <v>611</v>
      </c>
      <c r="P93" t="s">
        <v>630</v>
      </c>
      <c r="Q93">
        <f t="shared" si="36"/>
        <v>40</v>
      </c>
      <c r="R93">
        <f t="shared" si="37"/>
        <v>6</v>
      </c>
      <c r="S93" s="17">
        <f t="shared" si="38"/>
        <v>1.5</v>
      </c>
      <c r="T93" s="17">
        <f t="shared" si="39"/>
        <v>2.5</v>
      </c>
      <c r="U93" s="18">
        <f t="shared" si="40"/>
        <v>4</v>
      </c>
      <c r="V93" s="18">
        <f t="shared" si="41"/>
        <v>2</v>
      </c>
      <c r="W93" t="str">
        <f t="shared" si="42"/>
        <v>ZrC</v>
      </c>
      <c r="X93">
        <f t="shared" si="43"/>
        <v>1</v>
      </c>
      <c r="Y93">
        <f t="shared" si="44"/>
        <v>3</v>
      </c>
    </row>
    <row r="94" spans="3:25" ht="12.75">
      <c r="C94" t="s">
        <v>631</v>
      </c>
      <c r="D94" t="s">
        <v>571</v>
      </c>
      <c r="E94" s="1">
        <f t="shared" si="24"/>
        <v>48</v>
      </c>
      <c r="F94" s="1">
        <f t="shared" si="25"/>
        <v>8</v>
      </c>
      <c r="G94" s="22">
        <f t="shared" si="26"/>
        <v>1.5</v>
      </c>
      <c r="H94" s="22">
        <f t="shared" si="27"/>
        <v>3.5</v>
      </c>
      <c r="I94" s="23">
        <f t="shared" si="28"/>
        <v>4</v>
      </c>
      <c r="J94" s="23">
        <f t="shared" si="29"/>
        <v>2</v>
      </c>
      <c r="K94" s="1" t="str">
        <f t="shared" si="30"/>
        <v>CdO</v>
      </c>
      <c r="L94" s="1">
        <f t="shared" si="31"/>
        <v>2</v>
      </c>
      <c r="M94" s="1">
        <f t="shared" si="32"/>
        <v>3</v>
      </c>
      <c r="O94" t="s">
        <v>612</v>
      </c>
      <c r="P94" t="s">
        <v>630</v>
      </c>
      <c r="Q94">
        <f t="shared" si="36"/>
        <v>72</v>
      </c>
      <c r="R94">
        <f t="shared" si="37"/>
        <v>6</v>
      </c>
      <c r="S94" s="17">
        <f t="shared" si="38"/>
        <v>1.4</v>
      </c>
      <c r="T94" s="17">
        <f t="shared" si="39"/>
        <v>2.5</v>
      </c>
      <c r="U94" s="18">
        <f t="shared" si="40"/>
        <v>5</v>
      </c>
      <c r="V94" s="18">
        <f t="shared" si="41"/>
        <v>2</v>
      </c>
      <c r="W94" t="str">
        <f t="shared" si="42"/>
        <v>HfC</v>
      </c>
      <c r="X94">
        <f t="shared" si="43"/>
        <v>1.1</v>
      </c>
      <c r="Y94">
        <f t="shared" si="44"/>
        <v>3.5</v>
      </c>
    </row>
    <row r="95" spans="2:25" ht="12.75">
      <c r="B95" s="21" t="s">
        <v>597</v>
      </c>
      <c r="C95" t="s">
        <v>632</v>
      </c>
      <c r="D95" t="s">
        <v>587</v>
      </c>
      <c r="E95" s="1">
        <f t="shared" si="24"/>
        <v>49</v>
      </c>
      <c r="F95" s="1">
        <f t="shared" si="25"/>
        <v>15</v>
      </c>
      <c r="G95" s="22">
        <f t="shared" si="26"/>
        <v>1.5</v>
      </c>
      <c r="H95" s="22">
        <f t="shared" si="27"/>
        <v>2.1</v>
      </c>
      <c r="I95" s="23">
        <f t="shared" si="28"/>
        <v>4</v>
      </c>
      <c r="J95" s="23">
        <f t="shared" si="29"/>
        <v>3</v>
      </c>
      <c r="K95" s="1" t="str">
        <f t="shared" si="30"/>
        <v>InP</v>
      </c>
      <c r="L95" s="1">
        <f t="shared" si="31"/>
        <v>0.6000000000000001</v>
      </c>
      <c r="M95" s="1">
        <f t="shared" si="32"/>
        <v>3.5</v>
      </c>
      <c r="O95" t="s">
        <v>589</v>
      </c>
      <c r="P95" t="s">
        <v>630</v>
      </c>
      <c r="Q95">
        <f t="shared" si="36"/>
        <v>23</v>
      </c>
      <c r="R95">
        <f t="shared" si="37"/>
        <v>6</v>
      </c>
      <c r="S95" s="17">
        <f t="shared" si="38"/>
        <v>1.7</v>
      </c>
      <c r="T95" s="17">
        <f t="shared" si="39"/>
        <v>2.5</v>
      </c>
      <c r="U95" s="18">
        <f t="shared" si="40"/>
        <v>3</v>
      </c>
      <c r="V95" s="18">
        <f t="shared" si="41"/>
        <v>2</v>
      </c>
      <c r="W95" t="str">
        <f t="shared" si="42"/>
        <v>VC</v>
      </c>
      <c r="X95">
        <f t="shared" si="43"/>
        <v>0.8</v>
      </c>
      <c r="Y95">
        <f t="shared" si="44"/>
        <v>2.5</v>
      </c>
    </row>
    <row r="96" spans="2:25" ht="15">
      <c r="B96" s="24"/>
      <c r="C96" t="s">
        <v>632</v>
      </c>
      <c r="D96" t="s">
        <v>593</v>
      </c>
      <c r="E96" s="1">
        <f t="shared" si="24"/>
        <v>49</v>
      </c>
      <c r="F96" s="1">
        <f t="shared" si="25"/>
        <v>33</v>
      </c>
      <c r="G96" s="22">
        <f t="shared" si="26"/>
        <v>1.5</v>
      </c>
      <c r="H96" s="22">
        <f t="shared" si="27"/>
        <v>2</v>
      </c>
      <c r="I96" s="23">
        <f t="shared" si="28"/>
        <v>4</v>
      </c>
      <c r="J96" s="23">
        <f t="shared" si="29"/>
        <v>4</v>
      </c>
      <c r="K96" s="1" t="str">
        <f t="shared" si="30"/>
        <v>InAs</v>
      </c>
      <c r="L96" s="1">
        <f t="shared" si="31"/>
        <v>0.5</v>
      </c>
      <c r="M96" s="1">
        <f t="shared" si="32"/>
        <v>4</v>
      </c>
      <c r="O96" t="s">
        <v>613</v>
      </c>
      <c r="P96" t="s">
        <v>630</v>
      </c>
      <c r="Q96">
        <f t="shared" si="36"/>
        <v>41</v>
      </c>
      <c r="R96">
        <f t="shared" si="37"/>
        <v>6</v>
      </c>
      <c r="S96" s="17">
        <f t="shared" si="38"/>
        <v>1.7</v>
      </c>
      <c r="T96" s="17">
        <f t="shared" si="39"/>
        <v>2.5</v>
      </c>
      <c r="U96" s="18">
        <f t="shared" si="40"/>
        <v>4</v>
      </c>
      <c r="V96" s="18">
        <f t="shared" si="41"/>
        <v>2</v>
      </c>
      <c r="W96" t="str">
        <f t="shared" si="42"/>
        <v>NbC</v>
      </c>
      <c r="X96">
        <f t="shared" si="43"/>
        <v>0.8</v>
      </c>
      <c r="Y96">
        <f t="shared" si="44"/>
        <v>3</v>
      </c>
    </row>
    <row r="97" spans="5:25" ht="12.75">
      <c r="E97" s="3"/>
      <c r="F97" s="3"/>
      <c r="G97" s="22"/>
      <c r="H97" s="22"/>
      <c r="I97" s="23"/>
      <c r="J97" s="23"/>
      <c r="K97" s="3"/>
      <c r="L97" s="3"/>
      <c r="M97" s="3"/>
      <c r="O97" t="s">
        <v>614</v>
      </c>
      <c r="P97" t="s">
        <v>630</v>
      </c>
      <c r="Q97">
        <f t="shared" si="36"/>
        <v>73</v>
      </c>
      <c r="R97">
        <f t="shared" si="37"/>
        <v>6</v>
      </c>
      <c r="S97" s="17">
        <f t="shared" si="38"/>
        <v>1.3</v>
      </c>
      <c r="T97" s="17">
        <f t="shared" si="39"/>
        <v>2.5</v>
      </c>
      <c r="U97" s="18">
        <f t="shared" si="40"/>
        <v>5</v>
      </c>
      <c r="V97" s="18">
        <f t="shared" si="41"/>
        <v>2</v>
      </c>
      <c r="W97" t="str">
        <f t="shared" si="42"/>
        <v>TaC</v>
      </c>
      <c r="X97">
        <f t="shared" si="43"/>
        <v>1.2</v>
      </c>
      <c r="Y97">
        <f t="shared" si="44"/>
        <v>3.5</v>
      </c>
    </row>
    <row r="98" spans="15:25" ht="12.75">
      <c r="O98" t="s">
        <v>628</v>
      </c>
      <c r="P98" t="s">
        <v>630</v>
      </c>
      <c r="Q98">
        <f aca="true" t="shared" si="45" ref="Q98:Q114">MATCH(O98,$D$146:$D$247,0)</f>
        <v>90</v>
      </c>
      <c r="R98">
        <f aca="true" t="shared" si="46" ref="R98:R114">MATCH(P98,$D$146:$D$247,0)</f>
        <v>6</v>
      </c>
      <c r="S98" s="17">
        <f aca="true" t="shared" si="47" ref="S98:S114">IF(INDEX($F$146:$F$247,Q98,1)="","",INDEX($F$146:$F$247,Q98,1))</f>
        <v>1</v>
      </c>
      <c r="T98" s="17">
        <f aca="true" t="shared" si="48" ref="T98:T114">IF(INDEX($F$146:$F$247,R98,1)="","",INDEX($F$146:$F$247,R98,1))</f>
        <v>2.5</v>
      </c>
      <c r="U98" s="18">
        <f aca="true" t="shared" si="49" ref="U98:U114">IF(INDEX($E$146:$E$247,Q98,1)="","",INDEX($E$146:$E$247,Q98,1))</f>
        <v>6</v>
      </c>
      <c r="V98" s="18">
        <f aca="true" t="shared" si="50" ref="V98:V114">IF(INDEX($E$146:$E$247,R98,1)="","",INDEX($E$146:$E$247,R98,1))</f>
        <v>2</v>
      </c>
      <c r="W98" t="str">
        <f aca="true" t="shared" si="51" ref="W98:W114">O98&amp;P98</f>
        <v>ThC</v>
      </c>
      <c r="X98">
        <f aca="true" t="shared" si="52" ref="X98:X114">ABS(S98-T98)</f>
        <v>1.5</v>
      </c>
      <c r="Y98">
        <f aca="true" t="shared" si="53" ref="Y98:Y114">(U98+V98)/2</f>
        <v>4</v>
      </c>
    </row>
    <row r="99" spans="3:25" ht="12.75">
      <c r="C99" t="s">
        <v>633</v>
      </c>
      <c r="O99" t="s">
        <v>634</v>
      </c>
      <c r="P99" t="s">
        <v>583</v>
      </c>
      <c r="Q99">
        <f t="shared" si="45"/>
        <v>58</v>
      </c>
      <c r="R99">
        <f t="shared" si="46"/>
        <v>16</v>
      </c>
      <c r="S99" s="17">
        <f t="shared" si="47"/>
        <v>1.1</v>
      </c>
      <c r="T99" s="17">
        <f t="shared" si="48"/>
        <v>2.5</v>
      </c>
      <c r="U99" s="18">
        <f t="shared" si="49"/>
        <v>5</v>
      </c>
      <c r="V99" s="18">
        <f t="shared" si="50"/>
        <v>3</v>
      </c>
      <c r="W99" t="str">
        <f t="shared" si="51"/>
        <v>CeS</v>
      </c>
      <c r="X99">
        <f t="shared" si="52"/>
        <v>1.4</v>
      </c>
      <c r="Y99">
        <f t="shared" si="53"/>
        <v>4</v>
      </c>
    </row>
    <row r="100" spans="5:25" ht="12.75">
      <c r="E100" s="330" t="s">
        <v>564</v>
      </c>
      <c r="F100" s="330"/>
      <c r="G100" s="7" t="s">
        <v>715</v>
      </c>
      <c r="H100" s="7" t="s">
        <v>716</v>
      </c>
      <c r="I100" s="8" t="s">
        <v>565</v>
      </c>
      <c r="J100" s="8"/>
      <c r="K100" s="6" t="s">
        <v>566</v>
      </c>
      <c r="L100" s="10" t="s">
        <v>567</v>
      </c>
      <c r="M100" s="11" t="s">
        <v>568</v>
      </c>
      <c r="O100" t="s">
        <v>635</v>
      </c>
      <c r="P100" t="s">
        <v>583</v>
      </c>
      <c r="Q100">
        <f t="shared" si="45"/>
        <v>62</v>
      </c>
      <c r="R100">
        <f t="shared" si="46"/>
        <v>16</v>
      </c>
      <c r="S100" s="17">
        <f t="shared" si="47"/>
        <v>1.2</v>
      </c>
      <c r="T100" s="17">
        <f t="shared" si="48"/>
        <v>2.5</v>
      </c>
      <c r="U100" s="18">
        <f t="shared" si="49"/>
        <v>5</v>
      </c>
      <c r="V100" s="18">
        <f t="shared" si="50"/>
        <v>3</v>
      </c>
      <c r="W100" t="str">
        <f t="shared" si="51"/>
        <v>SmS</v>
      </c>
      <c r="X100">
        <f t="shared" si="52"/>
        <v>1.3</v>
      </c>
      <c r="Y100">
        <f t="shared" si="53"/>
        <v>4</v>
      </c>
    </row>
    <row r="101" spans="2:25" ht="12.75">
      <c r="B101" s="21" t="s">
        <v>576</v>
      </c>
      <c r="C101" t="s">
        <v>605</v>
      </c>
      <c r="D101" t="s">
        <v>602</v>
      </c>
      <c r="E101" s="3">
        <f aca="true" t="shared" si="54" ref="E101:E123">MATCH($C101,$D$146:$D$247,0)</f>
        <v>29</v>
      </c>
      <c r="F101" s="3">
        <f aca="true" t="shared" si="55" ref="F101:F123">MATCH($D101,$D$146:$D$247,0)</f>
        <v>9</v>
      </c>
      <c r="G101" s="22">
        <f aca="true" t="shared" si="56" ref="G101:G123">IF(INDEX($F$146:$F$247,$E101,1)="","",INDEX($F$146:$F$247,$E101,1))</f>
        <v>1.8</v>
      </c>
      <c r="H101" s="22">
        <f aca="true" t="shared" si="57" ref="H101:H123">IF(INDEX($F$146:$F$247,$F101,1)="","",INDEX($F$146:$F$247,$F101,1))</f>
        <v>3.95</v>
      </c>
      <c r="I101" s="23">
        <f aca="true" t="shared" si="58" ref="I101:I123">IF(INDEX($E$146:$E$247,$E101,1)="","",INDEX($E$146:$E$247,$E101,1))</f>
        <v>3</v>
      </c>
      <c r="J101" s="23">
        <f aca="true" t="shared" si="59" ref="J101:J123">IF(INDEX($E$146:$E$247,$F101,1)="","",INDEX($E$146:$E$247,$F101,1))</f>
        <v>2</v>
      </c>
      <c r="K101" s="3" t="str">
        <f aca="true" t="shared" si="60" ref="K101:K123">C101&amp;D101</f>
        <v>CuF</v>
      </c>
      <c r="L101" s="3">
        <f aca="true" t="shared" si="61" ref="L101:L123">ABS(G101-H101)</f>
        <v>2.1500000000000004</v>
      </c>
      <c r="M101" s="3">
        <f aca="true" t="shared" si="62" ref="M101:M123">(I101+J101)/2</f>
        <v>2.5</v>
      </c>
      <c r="O101" t="s">
        <v>619</v>
      </c>
      <c r="P101" t="s">
        <v>583</v>
      </c>
      <c r="Q101">
        <f t="shared" si="45"/>
        <v>63</v>
      </c>
      <c r="R101">
        <f t="shared" si="46"/>
        <v>16</v>
      </c>
      <c r="S101" s="17">
        <f t="shared" si="47"/>
        <v>1.1</v>
      </c>
      <c r="T101" s="17">
        <f t="shared" si="48"/>
        <v>2.5</v>
      </c>
      <c r="U101" s="18">
        <f t="shared" si="49"/>
        <v>5</v>
      </c>
      <c r="V101" s="18">
        <f t="shared" si="50"/>
        <v>3</v>
      </c>
      <c r="W101" t="str">
        <f t="shared" si="51"/>
        <v>EuS</v>
      </c>
      <c r="X101">
        <f t="shared" si="52"/>
        <v>1.4</v>
      </c>
      <c r="Y101">
        <f t="shared" si="53"/>
        <v>4</v>
      </c>
    </row>
    <row r="102" spans="2:25" ht="12.75">
      <c r="B102" s="21"/>
      <c r="C102" t="s">
        <v>605</v>
      </c>
      <c r="D102" t="s">
        <v>578</v>
      </c>
      <c r="E102" s="3">
        <f t="shared" si="54"/>
        <v>29</v>
      </c>
      <c r="F102" s="3">
        <f t="shared" si="55"/>
        <v>17</v>
      </c>
      <c r="G102" s="22">
        <f t="shared" si="56"/>
        <v>1.8</v>
      </c>
      <c r="H102" s="22">
        <f t="shared" si="57"/>
        <v>3</v>
      </c>
      <c r="I102" s="23">
        <f t="shared" si="58"/>
        <v>3</v>
      </c>
      <c r="J102" s="23">
        <f t="shared" si="59"/>
        <v>3</v>
      </c>
      <c r="K102" s="3" t="str">
        <f t="shared" si="60"/>
        <v>CuCl</v>
      </c>
      <c r="L102" s="3">
        <f t="shared" si="61"/>
        <v>1.2</v>
      </c>
      <c r="M102" s="3">
        <f t="shared" si="62"/>
        <v>3</v>
      </c>
      <c r="O102" t="s">
        <v>628</v>
      </c>
      <c r="P102" t="s">
        <v>583</v>
      </c>
      <c r="Q102">
        <f t="shared" si="45"/>
        <v>90</v>
      </c>
      <c r="R102">
        <f t="shared" si="46"/>
        <v>16</v>
      </c>
      <c r="S102" s="17">
        <f t="shared" si="47"/>
        <v>1</v>
      </c>
      <c r="T102" s="17">
        <f t="shared" si="48"/>
        <v>2.5</v>
      </c>
      <c r="U102" s="18">
        <f t="shared" si="49"/>
        <v>6</v>
      </c>
      <c r="V102" s="18">
        <f t="shared" si="50"/>
        <v>3</v>
      </c>
      <c r="W102" t="str">
        <f t="shared" si="51"/>
        <v>ThS</v>
      </c>
      <c r="X102">
        <f t="shared" si="52"/>
        <v>1.5</v>
      </c>
      <c r="Y102">
        <f t="shared" si="53"/>
        <v>4.5</v>
      </c>
    </row>
    <row r="103" spans="2:25" ht="12.75">
      <c r="B103" s="21"/>
      <c r="C103" t="s">
        <v>605</v>
      </c>
      <c r="D103" t="s">
        <v>580</v>
      </c>
      <c r="E103" s="3">
        <f t="shared" si="54"/>
        <v>29</v>
      </c>
      <c r="F103" s="3">
        <f t="shared" si="55"/>
        <v>35</v>
      </c>
      <c r="G103" s="22">
        <f t="shared" si="56"/>
        <v>1.8</v>
      </c>
      <c r="H103" s="22">
        <f t="shared" si="57"/>
        <v>2.8</v>
      </c>
      <c r="I103" s="23">
        <f t="shared" si="58"/>
        <v>3</v>
      </c>
      <c r="J103" s="23">
        <f t="shared" si="59"/>
        <v>4</v>
      </c>
      <c r="K103" s="3" t="str">
        <f t="shared" si="60"/>
        <v>CuBr</v>
      </c>
      <c r="L103" s="3">
        <f t="shared" si="61"/>
        <v>0.9999999999999998</v>
      </c>
      <c r="M103" s="3">
        <f t="shared" si="62"/>
        <v>3.5</v>
      </c>
      <c r="O103" t="s">
        <v>629</v>
      </c>
      <c r="P103" t="s">
        <v>583</v>
      </c>
      <c r="Q103">
        <f t="shared" si="45"/>
        <v>92</v>
      </c>
      <c r="R103">
        <f t="shared" si="46"/>
        <v>16</v>
      </c>
      <c r="S103" s="17">
        <f t="shared" si="47"/>
        <v>1.4</v>
      </c>
      <c r="T103" s="17">
        <f t="shared" si="48"/>
        <v>2.5</v>
      </c>
      <c r="U103" s="18">
        <f t="shared" si="49"/>
        <v>6</v>
      </c>
      <c r="V103" s="18">
        <f t="shared" si="50"/>
        <v>3</v>
      </c>
      <c r="W103" t="str">
        <f t="shared" si="51"/>
        <v>US</v>
      </c>
      <c r="X103">
        <f t="shared" si="52"/>
        <v>1.1</v>
      </c>
      <c r="Y103">
        <f t="shared" si="53"/>
        <v>4.5</v>
      </c>
    </row>
    <row r="104" spans="2:25" ht="12.75">
      <c r="B104"/>
      <c r="C104" t="s">
        <v>605</v>
      </c>
      <c r="D104" t="s">
        <v>584</v>
      </c>
      <c r="E104" s="3">
        <f t="shared" si="54"/>
        <v>29</v>
      </c>
      <c r="F104" s="3">
        <f t="shared" si="55"/>
        <v>53</v>
      </c>
      <c r="G104" s="22">
        <f t="shared" si="56"/>
        <v>1.8</v>
      </c>
      <c r="H104" s="22">
        <f t="shared" si="57"/>
        <v>2.55</v>
      </c>
      <c r="I104" s="23">
        <f t="shared" si="58"/>
        <v>3</v>
      </c>
      <c r="J104" s="23">
        <f t="shared" si="59"/>
        <v>5</v>
      </c>
      <c r="K104" s="3" t="str">
        <f t="shared" si="60"/>
        <v>CuI</v>
      </c>
      <c r="L104" s="3">
        <f t="shared" si="61"/>
        <v>0.7499999999999998</v>
      </c>
      <c r="M104" s="3">
        <f t="shared" si="62"/>
        <v>4</v>
      </c>
      <c r="O104" t="s">
        <v>626</v>
      </c>
      <c r="P104" t="s">
        <v>583</v>
      </c>
      <c r="Q104">
        <f t="shared" si="45"/>
        <v>94</v>
      </c>
      <c r="R104">
        <f t="shared" si="46"/>
        <v>16</v>
      </c>
      <c r="S104" s="17">
        <f t="shared" si="47"/>
        <v>1.3</v>
      </c>
      <c r="T104" s="17">
        <f t="shared" si="48"/>
        <v>2.5</v>
      </c>
      <c r="U104" s="18">
        <f t="shared" si="49"/>
        <v>6</v>
      </c>
      <c r="V104" s="18">
        <f t="shared" si="50"/>
        <v>3</v>
      </c>
      <c r="W104" t="str">
        <f t="shared" si="51"/>
        <v>PuS</v>
      </c>
      <c r="X104">
        <f t="shared" si="52"/>
        <v>1.2</v>
      </c>
      <c r="Y104">
        <f t="shared" si="53"/>
        <v>4.5</v>
      </c>
    </row>
    <row r="105" spans="2:25" ht="12.75">
      <c r="B105" s="25" t="s">
        <v>581</v>
      </c>
      <c r="C105" s="2" t="s">
        <v>631</v>
      </c>
      <c r="D105" s="2" t="s">
        <v>595</v>
      </c>
      <c r="E105" s="1">
        <f t="shared" si="54"/>
        <v>48</v>
      </c>
      <c r="F105" s="1">
        <f t="shared" si="55"/>
        <v>52</v>
      </c>
      <c r="G105" s="22">
        <f t="shared" si="56"/>
        <v>1.5</v>
      </c>
      <c r="H105" s="22">
        <f t="shared" si="57"/>
        <v>2.1</v>
      </c>
      <c r="I105" s="23">
        <f t="shared" si="58"/>
        <v>4</v>
      </c>
      <c r="J105" s="23">
        <f t="shared" si="59"/>
        <v>5</v>
      </c>
      <c r="K105" s="1" t="str">
        <f t="shared" si="60"/>
        <v>CdTe</v>
      </c>
      <c r="L105" s="1">
        <f t="shared" si="61"/>
        <v>0.6000000000000001</v>
      </c>
      <c r="M105" s="1">
        <f t="shared" si="62"/>
        <v>4.5</v>
      </c>
      <c r="O105" t="s">
        <v>628</v>
      </c>
      <c r="P105" t="s">
        <v>592</v>
      </c>
      <c r="Q105">
        <f t="shared" si="45"/>
        <v>90</v>
      </c>
      <c r="R105">
        <f t="shared" si="46"/>
        <v>34</v>
      </c>
      <c r="S105" s="17">
        <f t="shared" si="47"/>
        <v>1</v>
      </c>
      <c r="T105" s="17">
        <f t="shared" si="48"/>
        <v>2.4</v>
      </c>
      <c r="U105" s="18">
        <f t="shared" si="49"/>
        <v>6</v>
      </c>
      <c r="V105" s="18">
        <f t="shared" si="50"/>
        <v>4</v>
      </c>
      <c r="W105" t="str">
        <f t="shared" si="51"/>
        <v>ThSe</v>
      </c>
      <c r="X105">
        <f t="shared" si="52"/>
        <v>1.4</v>
      </c>
      <c r="Y105">
        <f t="shared" si="53"/>
        <v>5</v>
      </c>
    </row>
    <row r="106" spans="2:25" ht="12.75">
      <c r="B106"/>
      <c r="C106" t="s">
        <v>636</v>
      </c>
      <c r="D106" t="s">
        <v>583</v>
      </c>
      <c r="E106" s="3">
        <f t="shared" si="54"/>
        <v>80</v>
      </c>
      <c r="F106" s="3">
        <f t="shared" si="55"/>
        <v>16</v>
      </c>
      <c r="G106" s="22">
        <f t="shared" si="56"/>
        <v>1.8</v>
      </c>
      <c r="H106" s="22">
        <f t="shared" si="57"/>
        <v>2.5</v>
      </c>
      <c r="I106" s="23">
        <f t="shared" si="58"/>
        <v>5</v>
      </c>
      <c r="J106" s="23">
        <f t="shared" si="59"/>
        <v>3</v>
      </c>
      <c r="K106" s="3" t="str">
        <f t="shared" si="60"/>
        <v>HgS</v>
      </c>
      <c r="L106" s="3">
        <f t="shared" si="61"/>
        <v>0.7</v>
      </c>
      <c r="M106" s="3">
        <f t="shared" si="62"/>
        <v>4</v>
      </c>
      <c r="O106" t="s">
        <v>629</v>
      </c>
      <c r="P106" t="s">
        <v>592</v>
      </c>
      <c r="Q106">
        <f t="shared" si="45"/>
        <v>92</v>
      </c>
      <c r="R106">
        <f t="shared" si="46"/>
        <v>34</v>
      </c>
      <c r="S106" s="17">
        <f t="shared" si="47"/>
        <v>1.4</v>
      </c>
      <c r="T106" s="17">
        <f t="shared" si="48"/>
        <v>2.4</v>
      </c>
      <c r="U106" s="18">
        <f t="shared" si="49"/>
        <v>6</v>
      </c>
      <c r="V106" s="18">
        <f t="shared" si="50"/>
        <v>4</v>
      </c>
      <c r="W106" t="str">
        <f t="shared" si="51"/>
        <v>USe</v>
      </c>
      <c r="X106">
        <f t="shared" si="52"/>
        <v>1</v>
      </c>
      <c r="Y106">
        <f t="shared" si="53"/>
        <v>5</v>
      </c>
    </row>
    <row r="107" spans="3:25" ht="12.75">
      <c r="C107" t="s">
        <v>636</v>
      </c>
      <c r="D107" t="s">
        <v>592</v>
      </c>
      <c r="E107" s="3">
        <f t="shared" si="54"/>
        <v>80</v>
      </c>
      <c r="F107" s="3">
        <f t="shared" si="55"/>
        <v>34</v>
      </c>
      <c r="G107" s="22">
        <f t="shared" si="56"/>
        <v>1.8</v>
      </c>
      <c r="H107" s="22">
        <f t="shared" si="57"/>
        <v>2.4</v>
      </c>
      <c r="I107" s="23">
        <f t="shared" si="58"/>
        <v>5</v>
      </c>
      <c r="J107" s="23">
        <f t="shared" si="59"/>
        <v>4</v>
      </c>
      <c r="K107" s="3" t="str">
        <f t="shared" si="60"/>
        <v>HgSe</v>
      </c>
      <c r="L107" s="3">
        <f t="shared" si="61"/>
        <v>0.5999999999999999</v>
      </c>
      <c r="M107" s="3">
        <f t="shared" si="62"/>
        <v>4.5</v>
      </c>
      <c r="O107" t="s">
        <v>629</v>
      </c>
      <c r="P107" t="s">
        <v>595</v>
      </c>
      <c r="Q107">
        <f t="shared" si="45"/>
        <v>92</v>
      </c>
      <c r="R107">
        <f t="shared" si="46"/>
        <v>52</v>
      </c>
      <c r="S107" s="17">
        <f t="shared" si="47"/>
        <v>1.4</v>
      </c>
      <c r="T107" s="17">
        <f t="shared" si="48"/>
        <v>2.1</v>
      </c>
      <c r="U107" s="18">
        <f t="shared" si="49"/>
        <v>6</v>
      </c>
      <c r="V107" s="18">
        <f t="shared" si="50"/>
        <v>5</v>
      </c>
      <c r="W107" t="str">
        <f t="shared" si="51"/>
        <v>UTe</v>
      </c>
      <c r="X107">
        <f t="shared" si="52"/>
        <v>0.7000000000000002</v>
      </c>
      <c r="Y107">
        <f t="shared" si="53"/>
        <v>5.5</v>
      </c>
    </row>
    <row r="108" spans="3:25" ht="12.75">
      <c r="C108" t="s">
        <v>636</v>
      </c>
      <c r="D108" t="s">
        <v>595</v>
      </c>
      <c r="E108" s="3">
        <f t="shared" si="54"/>
        <v>80</v>
      </c>
      <c r="F108" s="3">
        <f t="shared" si="55"/>
        <v>52</v>
      </c>
      <c r="G108" s="22">
        <f t="shared" si="56"/>
        <v>1.8</v>
      </c>
      <c r="H108" s="22">
        <f t="shared" si="57"/>
        <v>2.1</v>
      </c>
      <c r="I108" s="23">
        <f t="shared" si="58"/>
        <v>5</v>
      </c>
      <c r="J108" s="23">
        <f t="shared" si="59"/>
        <v>5</v>
      </c>
      <c r="K108" s="3" t="str">
        <f t="shared" si="60"/>
        <v>HgTe</v>
      </c>
      <c r="L108" s="3">
        <f t="shared" si="61"/>
        <v>0.30000000000000004</v>
      </c>
      <c r="M108" s="3">
        <f t="shared" si="62"/>
        <v>5</v>
      </c>
      <c r="O108" t="s">
        <v>626</v>
      </c>
      <c r="P108" t="s">
        <v>595</v>
      </c>
      <c r="Q108">
        <f t="shared" si="45"/>
        <v>94</v>
      </c>
      <c r="R108">
        <f t="shared" si="46"/>
        <v>52</v>
      </c>
      <c r="S108" s="17">
        <f t="shared" si="47"/>
        <v>1.3</v>
      </c>
      <c r="T108" s="17">
        <f t="shared" si="48"/>
        <v>2.1</v>
      </c>
      <c r="U108" s="18">
        <f t="shared" si="49"/>
        <v>6</v>
      </c>
      <c r="V108" s="18">
        <f t="shared" si="50"/>
        <v>5</v>
      </c>
      <c r="W108" t="str">
        <f t="shared" si="51"/>
        <v>PuTe</v>
      </c>
      <c r="X108">
        <f t="shared" si="52"/>
        <v>0.8</v>
      </c>
      <c r="Y108">
        <f t="shared" si="53"/>
        <v>5.5</v>
      </c>
    </row>
    <row r="109" spans="3:25" ht="12.75">
      <c r="C109" t="s">
        <v>637</v>
      </c>
      <c r="D109" t="s">
        <v>583</v>
      </c>
      <c r="E109" s="3">
        <f t="shared" si="54"/>
        <v>4</v>
      </c>
      <c r="F109" s="3">
        <f t="shared" si="55"/>
        <v>16</v>
      </c>
      <c r="G109" s="22">
        <f t="shared" si="56"/>
        <v>1.5</v>
      </c>
      <c r="H109" s="22">
        <f t="shared" si="57"/>
        <v>2.5</v>
      </c>
      <c r="I109" s="23">
        <f t="shared" si="58"/>
        <v>1</v>
      </c>
      <c r="J109" s="23">
        <f t="shared" si="59"/>
        <v>3</v>
      </c>
      <c r="K109" s="3" t="str">
        <f t="shared" si="60"/>
        <v>BeS</v>
      </c>
      <c r="L109" s="3">
        <f t="shared" si="61"/>
        <v>1</v>
      </c>
      <c r="M109" s="3">
        <f t="shared" si="62"/>
        <v>2</v>
      </c>
      <c r="O109" t="s">
        <v>628</v>
      </c>
      <c r="P109" t="s">
        <v>593</v>
      </c>
      <c r="Q109">
        <f t="shared" si="45"/>
        <v>90</v>
      </c>
      <c r="R109">
        <f t="shared" si="46"/>
        <v>33</v>
      </c>
      <c r="S109" s="17">
        <f t="shared" si="47"/>
        <v>1</v>
      </c>
      <c r="T109" s="17">
        <f t="shared" si="48"/>
        <v>2</v>
      </c>
      <c r="U109" s="18">
        <f t="shared" si="49"/>
        <v>6</v>
      </c>
      <c r="V109" s="18">
        <f t="shared" si="50"/>
        <v>4</v>
      </c>
      <c r="W109" t="str">
        <f t="shared" si="51"/>
        <v>ThAs</v>
      </c>
      <c r="X109">
        <f t="shared" si="52"/>
        <v>1</v>
      </c>
      <c r="Y109">
        <f t="shared" si="53"/>
        <v>5</v>
      </c>
    </row>
    <row r="110" spans="3:25" ht="12.75">
      <c r="C110" t="s">
        <v>637</v>
      </c>
      <c r="D110" t="s">
        <v>592</v>
      </c>
      <c r="E110" s="3">
        <f t="shared" si="54"/>
        <v>4</v>
      </c>
      <c r="F110" s="3">
        <f t="shared" si="55"/>
        <v>34</v>
      </c>
      <c r="G110" s="22">
        <f t="shared" si="56"/>
        <v>1.5</v>
      </c>
      <c r="H110" s="22">
        <f t="shared" si="57"/>
        <v>2.4</v>
      </c>
      <c r="I110" s="23">
        <f t="shared" si="58"/>
        <v>1</v>
      </c>
      <c r="J110" s="23">
        <f t="shared" si="59"/>
        <v>4</v>
      </c>
      <c r="K110" s="3" t="str">
        <f t="shared" si="60"/>
        <v>BeSe</v>
      </c>
      <c r="L110" s="3">
        <f t="shared" si="61"/>
        <v>0.8999999999999999</v>
      </c>
      <c r="M110" s="3">
        <f t="shared" si="62"/>
        <v>2.5</v>
      </c>
      <c r="O110" t="s">
        <v>628</v>
      </c>
      <c r="P110" t="s">
        <v>600</v>
      </c>
      <c r="Q110">
        <f t="shared" si="45"/>
        <v>90</v>
      </c>
      <c r="R110">
        <f t="shared" si="46"/>
        <v>51</v>
      </c>
      <c r="S110" s="17">
        <f t="shared" si="47"/>
        <v>1</v>
      </c>
      <c r="T110" s="17">
        <f t="shared" si="48"/>
        <v>1.8</v>
      </c>
      <c r="U110" s="18">
        <f t="shared" si="49"/>
        <v>6</v>
      </c>
      <c r="V110" s="18">
        <f t="shared" si="50"/>
        <v>5</v>
      </c>
      <c r="W110" t="str">
        <f t="shared" si="51"/>
        <v>ThSb</v>
      </c>
      <c r="X110">
        <f t="shared" si="52"/>
        <v>0.8</v>
      </c>
      <c r="Y110">
        <f t="shared" si="53"/>
        <v>5.5</v>
      </c>
    </row>
    <row r="111" spans="1:25" ht="12.75">
      <c r="A111" s="2"/>
      <c r="C111" t="s">
        <v>637</v>
      </c>
      <c r="D111" t="s">
        <v>595</v>
      </c>
      <c r="E111" s="3">
        <f t="shared" si="54"/>
        <v>4</v>
      </c>
      <c r="F111" s="3">
        <f t="shared" si="55"/>
        <v>52</v>
      </c>
      <c r="G111" s="22">
        <f t="shared" si="56"/>
        <v>1.5</v>
      </c>
      <c r="H111" s="22">
        <f t="shared" si="57"/>
        <v>2.1</v>
      </c>
      <c r="I111" s="23">
        <f t="shared" si="58"/>
        <v>1</v>
      </c>
      <c r="J111" s="23">
        <f t="shared" si="59"/>
        <v>5</v>
      </c>
      <c r="K111" s="3" t="str">
        <f t="shared" si="60"/>
        <v>BeTe</v>
      </c>
      <c r="L111" s="3">
        <f t="shared" si="61"/>
        <v>0.6000000000000001</v>
      </c>
      <c r="M111" s="3">
        <f t="shared" si="62"/>
        <v>3</v>
      </c>
      <c r="O111" t="s">
        <v>629</v>
      </c>
      <c r="P111" t="s">
        <v>587</v>
      </c>
      <c r="Q111">
        <f t="shared" si="45"/>
        <v>92</v>
      </c>
      <c r="R111">
        <f t="shared" si="46"/>
        <v>15</v>
      </c>
      <c r="S111" s="17">
        <f t="shared" si="47"/>
        <v>1.4</v>
      </c>
      <c r="T111" s="17">
        <f t="shared" si="48"/>
        <v>2.1</v>
      </c>
      <c r="U111" s="18">
        <f t="shared" si="49"/>
        <v>6</v>
      </c>
      <c r="V111" s="18">
        <f t="shared" si="50"/>
        <v>3</v>
      </c>
      <c r="W111" t="str">
        <f t="shared" si="51"/>
        <v>UP</v>
      </c>
      <c r="X111">
        <f t="shared" si="52"/>
        <v>0.7000000000000002</v>
      </c>
      <c r="Y111">
        <f t="shared" si="53"/>
        <v>4.5</v>
      </c>
    </row>
    <row r="112" spans="1:25" ht="12.75">
      <c r="A112" s="2"/>
      <c r="B112" s="21" t="s">
        <v>597</v>
      </c>
      <c r="C112" t="s">
        <v>638</v>
      </c>
      <c r="D112" t="s">
        <v>622</v>
      </c>
      <c r="E112" s="1">
        <f t="shared" si="54"/>
        <v>5</v>
      </c>
      <c r="F112" s="1">
        <f t="shared" si="55"/>
        <v>7</v>
      </c>
      <c r="G112" s="22">
        <f t="shared" si="56"/>
        <v>2</v>
      </c>
      <c r="H112" s="22">
        <f t="shared" si="57"/>
        <v>3</v>
      </c>
      <c r="I112" s="23">
        <f t="shared" si="58"/>
        <v>1</v>
      </c>
      <c r="J112" s="23">
        <f t="shared" si="59"/>
        <v>2</v>
      </c>
      <c r="K112" s="1" t="str">
        <f t="shared" si="60"/>
        <v>BN</v>
      </c>
      <c r="L112" s="1">
        <f t="shared" si="61"/>
        <v>1</v>
      </c>
      <c r="M112" s="1">
        <f t="shared" si="62"/>
        <v>1.5</v>
      </c>
      <c r="O112" t="s">
        <v>629</v>
      </c>
      <c r="P112" t="s">
        <v>593</v>
      </c>
      <c r="Q112">
        <f t="shared" si="45"/>
        <v>92</v>
      </c>
      <c r="R112">
        <f t="shared" si="46"/>
        <v>33</v>
      </c>
      <c r="S112" s="17">
        <f t="shared" si="47"/>
        <v>1.4</v>
      </c>
      <c r="T112" s="17">
        <f t="shared" si="48"/>
        <v>2</v>
      </c>
      <c r="U112" s="18">
        <f t="shared" si="49"/>
        <v>6</v>
      </c>
      <c r="V112" s="18">
        <f t="shared" si="50"/>
        <v>4</v>
      </c>
      <c r="W112" t="str">
        <f t="shared" si="51"/>
        <v>UAs</v>
      </c>
      <c r="X112">
        <f t="shared" si="52"/>
        <v>0.6000000000000001</v>
      </c>
      <c r="Y112">
        <f t="shared" si="53"/>
        <v>5</v>
      </c>
    </row>
    <row r="113" spans="1:25" ht="12.75">
      <c r="A113" s="2"/>
      <c r="C113" t="s">
        <v>638</v>
      </c>
      <c r="D113" t="s">
        <v>587</v>
      </c>
      <c r="E113" s="1">
        <f t="shared" si="54"/>
        <v>5</v>
      </c>
      <c r="F113" s="1">
        <f t="shared" si="55"/>
        <v>15</v>
      </c>
      <c r="G113" s="22">
        <f t="shared" si="56"/>
        <v>2</v>
      </c>
      <c r="H113" s="22">
        <f t="shared" si="57"/>
        <v>2.1</v>
      </c>
      <c r="I113" s="23">
        <f t="shared" si="58"/>
        <v>1</v>
      </c>
      <c r="J113" s="23">
        <f t="shared" si="59"/>
        <v>3</v>
      </c>
      <c r="K113" s="1" t="str">
        <f t="shared" si="60"/>
        <v>BP</v>
      </c>
      <c r="L113" s="1">
        <f t="shared" si="61"/>
        <v>0.10000000000000009</v>
      </c>
      <c r="M113" s="1">
        <f t="shared" si="62"/>
        <v>2</v>
      </c>
      <c r="O113" t="s">
        <v>629</v>
      </c>
      <c r="P113" t="s">
        <v>600</v>
      </c>
      <c r="Q113">
        <f t="shared" si="45"/>
        <v>92</v>
      </c>
      <c r="R113">
        <f t="shared" si="46"/>
        <v>51</v>
      </c>
      <c r="S113" s="17">
        <f t="shared" si="47"/>
        <v>1.4</v>
      </c>
      <c r="T113" s="17">
        <f t="shared" si="48"/>
        <v>1.8</v>
      </c>
      <c r="U113" s="18">
        <f t="shared" si="49"/>
        <v>6</v>
      </c>
      <c r="V113" s="18">
        <f t="shared" si="50"/>
        <v>5</v>
      </c>
      <c r="W113" t="str">
        <f t="shared" si="51"/>
        <v>USb</v>
      </c>
      <c r="X113">
        <f t="shared" si="52"/>
        <v>0.40000000000000013</v>
      </c>
      <c r="Y113">
        <f t="shared" si="53"/>
        <v>5.5</v>
      </c>
    </row>
    <row r="114" spans="1:25" ht="12.75">
      <c r="A114" s="2"/>
      <c r="C114" t="s">
        <v>638</v>
      </c>
      <c r="D114" t="s">
        <v>593</v>
      </c>
      <c r="E114" s="1">
        <f t="shared" si="54"/>
        <v>5</v>
      </c>
      <c r="F114" s="1">
        <f t="shared" si="55"/>
        <v>33</v>
      </c>
      <c r="G114" s="22">
        <f t="shared" si="56"/>
        <v>2</v>
      </c>
      <c r="H114" s="22">
        <f t="shared" si="57"/>
        <v>2</v>
      </c>
      <c r="I114" s="23">
        <f t="shared" si="58"/>
        <v>1</v>
      </c>
      <c r="J114" s="23">
        <f t="shared" si="59"/>
        <v>4</v>
      </c>
      <c r="K114" s="1" t="str">
        <f t="shared" si="60"/>
        <v>BAs</v>
      </c>
      <c r="L114" s="1">
        <f t="shared" si="61"/>
        <v>0</v>
      </c>
      <c r="M114" s="1">
        <f t="shared" si="62"/>
        <v>2.5</v>
      </c>
      <c r="O114" t="s">
        <v>629</v>
      </c>
      <c r="P114" t="s">
        <v>639</v>
      </c>
      <c r="Q114">
        <f t="shared" si="45"/>
        <v>92</v>
      </c>
      <c r="R114">
        <f t="shared" si="46"/>
        <v>83</v>
      </c>
      <c r="S114" s="17">
        <f t="shared" si="47"/>
        <v>1.4</v>
      </c>
      <c r="T114" s="17">
        <f t="shared" si="48"/>
        <v>1.8</v>
      </c>
      <c r="U114" s="18">
        <f t="shared" si="49"/>
        <v>6</v>
      </c>
      <c r="V114" s="18">
        <f t="shared" si="50"/>
        <v>6</v>
      </c>
      <c r="W114" t="str">
        <f t="shared" si="51"/>
        <v>UBi</v>
      </c>
      <c r="X114">
        <f t="shared" si="52"/>
        <v>0.40000000000000013</v>
      </c>
      <c r="Y114">
        <f t="shared" si="53"/>
        <v>6</v>
      </c>
    </row>
    <row r="115" spans="2:13" ht="12.75">
      <c r="B115" s="21"/>
      <c r="C115" t="s">
        <v>640</v>
      </c>
      <c r="D115" t="s">
        <v>587</v>
      </c>
      <c r="E115" s="3">
        <f t="shared" si="54"/>
        <v>13</v>
      </c>
      <c r="F115" s="3">
        <f t="shared" si="55"/>
        <v>15</v>
      </c>
      <c r="G115" s="22">
        <f t="shared" si="56"/>
        <v>1.5</v>
      </c>
      <c r="H115" s="22">
        <f t="shared" si="57"/>
        <v>2.1</v>
      </c>
      <c r="I115" s="23">
        <f t="shared" si="58"/>
        <v>2</v>
      </c>
      <c r="J115" s="23">
        <f t="shared" si="59"/>
        <v>3</v>
      </c>
      <c r="K115" s="3" t="str">
        <f t="shared" si="60"/>
        <v>AlP</v>
      </c>
      <c r="L115" s="3">
        <f t="shared" si="61"/>
        <v>0.6000000000000001</v>
      </c>
      <c r="M115" s="3">
        <f t="shared" si="62"/>
        <v>2.5</v>
      </c>
    </row>
    <row r="116" spans="3:15" ht="12.75">
      <c r="C116" t="s">
        <v>640</v>
      </c>
      <c r="D116" t="s">
        <v>593</v>
      </c>
      <c r="E116" s="3">
        <f t="shared" si="54"/>
        <v>13</v>
      </c>
      <c r="F116" s="3">
        <f t="shared" si="55"/>
        <v>33</v>
      </c>
      <c r="G116" s="22">
        <f t="shared" si="56"/>
        <v>1.5</v>
      </c>
      <c r="H116" s="22">
        <f t="shared" si="57"/>
        <v>2</v>
      </c>
      <c r="I116" s="23">
        <f t="shared" si="58"/>
        <v>2</v>
      </c>
      <c r="J116" s="23">
        <f t="shared" si="59"/>
        <v>4</v>
      </c>
      <c r="K116" s="3" t="str">
        <f t="shared" si="60"/>
        <v>AlAs</v>
      </c>
      <c r="L116" s="3">
        <f t="shared" si="61"/>
        <v>0.5</v>
      </c>
      <c r="M116" s="3">
        <f t="shared" si="62"/>
        <v>3</v>
      </c>
      <c r="O116" t="s">
        <v>641</v>
      </c>
    </row>
    <row r="117" spans="3:25" ht="12.75">
      <c r="C117" t="s">
        <v>640</v>
      </c>
      <c r="D117" t="s">
        <v>600</v>
      </c>
      <c r="E117" s="3">
        <f t="shared" si="54"/>
        <v>13</v>
      </c>
      <c r="F117" s="3">
        <f t="shared" si="55"/>
        <v>51</v>
      </c>
      <c r="G117" s="22">
        <f t="shared" si="56"/>
        <v>1.5</v>
      </c>
      <c r="H117" s="22">
        <f t="shared" si="57"/>
        <v>1.8</v>
      </c>
      <c r="I117" s="23">
        <f t="shared" si="58"/>
        <v>2</v>
      </c>
      <c r="J117" s="23">
        <f t="shared" si="59"/>
        <v>5</v>
      </c>
      <c r="K117" s="3" t="str">
        <f t="shared" si="60"/>
        <v>AlSb</v>
      </c>
      <c r="L117" s="3">
        <f t="shared" si="61"/>
        <v>0.30000000000000004</v>
      </c>
      <c r="M117" s="3">
        <f t="shared" si="62"/>
        <v>3.5</v>
      </c>
      <c r="O117" t="s">
        <v>605</v>
      </c>
      <c r="P117" t="s">
        <v>571</v>
      </c>
      <c r="Q117">
        <f aca="true" t="shared" si="63" ref="Q117:R123">MATCH(O117,$D$146:$D$247,0)</f>
        <v>29</v>
      </c>
      <c r="R117">
        <f t="shared" si="63"/>
        <v>8</v>
      </c>
      <c r="S117" s="17">
        <f aca="true" t="shared" si="64" ref="S117:T123">IF(INDEX($F$146:$F$247,Q117,1)="","",INDEX($F$146:$F$247,Q117,1))</f>
        <v>1.8</v>
      </c>
      <c r="T117" s="17">
        <f t="shared" si="64"/>
        <v>3.5</v>
      </c>
      <c r="U117" s="18">
        <f aca="true" t="shared" si="65" ref="U117:V123">IF(INDEX($E$146:$E$247,Q117,1)="","",INDEX($E$146:$E$247,Q117,1))</f>
        <v>3</v>
      </c>
      <c r="V117" s="18">
        <f t="shared" si="65"/>
        <v>2</v>
      </c>
      <c r="W117" t="str">
        <f aca="true" t="shared" si="66" ref="W117:W123">O117&amp;P117</f>
        <v>CuO</v>
      </c>
      <c r="X117">
        <f aca="true" t="shared" si="67" ref="X117:X123">ABS(S117-T117)</f>
        <v>1.7</v>
      </c>
      <c r="Y117">
        <f aca="true" t="shared" si="68" ref="Y117:Y123">(U117+V117)/2</f>
        <v>2.5</v>
      </c>
    </row>
    <row r="118" spans="3:25" ht="12.75">
      <c r="C118" t="s">
        <v>642</v>
      </c>
      <c r="D118" t="s">
        <v>587</v>
      </c>
      <c r="E118" s="3">
        <f t="shared" si="54"/>
        <v>31</v>
      </c>
      <c r="F118" s="3">
        <f t="shared" si="55"/>
        <v>15</v>
      </c>
      <c r="G118" s="22">
        <f t="shared" si="56"/>
        <v>1.5</v>
      </c>
      <c r="H118" s="22">
        <f t="shared" si="57"/>
        <v>2.1</v>
      </c>
      <c r="I118" s="23">
        <f t="shared" si="58"/>
        <v>3</v>
      </c>
      <c r="J118" s="23">
        <f t="shared" si="59"/>
        <v>3</v>
      </c>
      <c r="K118" s="3" t="str">
        <f t="shared" si="60"/>
        <v>GaP</v>
      </c>
      <c r="L118" s="3">
        <f t="shared" si="61"/>
        <v>0.6000000000000001</v>
      </c>
      <c r="M118" s="3">
        <f t="shared" si="62"/>
        <v>3</v>
      </c>
      <c r="O118" t="s">
        <v>643</v>
      </c>
      <c r="P118" t="s">
        <v>583</v>
      </c>
      <c r="Q118">
        <f t="shared" si="63"/>
        <v>46</v>
      </c>
      <c r="R118">
        <f t="shared" si="63"/>
        <v>16</v>
      </c>
      <c r="S118" s="17">
        <f t="shared" si="64"/>
        <v>2</v>
      </c>
      <c r="T118" s="17">
        <f t="shared" si="64"/>
        <v>2.5</v>
      </c>
      <c r="U118" s="18">
        <f t="shared" si="65"/>
        <v>4</v>
      </c>
      <c r="V118" s="18">
        <f t="shared" si="65"/>
        <v>3</v>
      </c>
      <c r="W118" t="str">
        <f t="shared" si="66"/>
        <v>PdS</v>
      </c>
      <c r="X118">
        <f t="shared" si="67"/>
        <v>0.5</v>
      </c>
      <c r="Y118">
        <f t="shared" si="68"/>
        <v>3.5</v>
      </c>
    </row>
    <row r="119" spans="3:25" ht="12.75">
      <c r="C119" t="s">
        <v>642</v>
      </c>
      <c r="D119" t="s">
        <v>593</v>
      </c>
      <c r="E119" s="3">
        <f t="shared" si="54"/>
        <v>31</v>
      </c>
      <c r="F119" s="3">
        <f t="shared" si="55"/>
        <v>33</v>
      </c>
      <c r="G119" s="22">
        <f t="shared" si="56"/>
        <v>1.5</v>
      </c>
      <c r="H119" s="22">
        <f t="shared" si="57"/>
        <v>2</v>
      </c>
      <c r="I119" s="23">
        <f t="shared" si="58"/>
        <v>3</v>
      </c>
      <c r="J119" s="23">
        <f t="shared" si="59"/>
        <v>4</v>
      </c>
      <c r="K119" s="3" t="str">
        <f t="shared" si="60"/>
        <v>GaAs</v>
      </c>
      <c r="L119" s="3">
        <f t="shared" si="61"/>
        <v>0.5</v>
      </c>
      <c r="M119" s="3">
        <f t="shared" si="62"/>
        <v>3.5</v>
      </c>
      <c r="O119" t="s">
        <v>644</v>
      </c>
      <c r="P119" t="s">
        <v>583</v>
      </c>
      <c r="Q119">
        <f t="shared" si="63"/>
        <v>78</v>
      </c>
      <c r="R119">
        <f t="shared" si="63"/>
        <v>16</v>
      </c>
      <c r="S119" s="17">
        <f t="shared" si="64"/>
        <v>2.1</v>
      </c>
      <c r="T119" s="17">
        <f t="shared" si="64"/>
        <v>2.5</v>
      </c>
      <c r="U119" s="18">
        <f t="shared" si="65"/>
        <v>5</v>
      </c>
      <c r="V119" s="18">
        <f t="shared" si="65"/>
        <v>3</v>
      </c>
      <c r="W119" t="str">
        <f t="shared" si="66"/>
        <v>PtS</v>
      </c>
      <c r="X119">
        <f t="shared" si="67"/>
        <v>0.3999999999999999</v>
      </c>
      <c r="Y119">
        <f t="shared" si="68"/>
        <v>4</v>
      </c>
    </row>
    <row r="120" spans="3:25" ht="12.75">
      <c r="C120" t="s">
        <v>642</v>
      </c>
      <c r="D120" t="s">
        <v>600</v>
      </c>
      <c r="E120" s="3">
        <f t="shared" si="54"/>
        <v>31</v>
      </c>
      <c r="F120" s="3">
        <f t="shared" si="55"/>
        <v>51</v>
      </c>
      <c r="G120" s="22">
        <f t="shared" si="56"/>
        <v>1.5</v>
      </c>
      <c r="H120" s="22">
        <f t="shared" si="57"/>
        <v>1.8</v>
      </c>
      <c r="I120" s="23">
        <f t="shared" si="58"/>
        <v>3</v>
      </c>
      <c r="J120" s="23">
        <f t="shared" si="59"/>
        <v>5</v>
      </c>
      <c r="K120" s="3" t="str">
        <f t="shared" si="60"/>
        <v>GaSb</v>
      </c>
      <c r="L120" s="3">
        <f t="shared" si="61"/>
        <v>0.30000000000000004</v>
      </c>
      <c r="M120" s="3">
        <f t="shared" si="62"/>
        <v>4</v>
      </c>
      <c r="O120" t="s">
        <v>570</v>
      </c>
      <c r="P120" t="s">
        <v>606</v>
      </c>
      <c r="Q120">
        <f t="shared" si="63"/>
        <v>22</v>
      </c>
      <c r="R120">
        <f t="shared" si="63"/>
        <v>1</v>
      </c>
      <c r="S120" s="17">
        <f t="shared" si="64"/>
        <v>1.6</v>
      </c>
      <c r="T120" s="17">
        <f t="shared" si="64"/>
        <v>2.15</v>
      </c>
      <c r="U120" s="18">
        <f t="shared" si="65"/>
        <v>3</v>
      </c>
      <c r="V120" s="18">
        <f t="shared" si="65"/>
        <v>1</v>
      </c>
      <c r="W120" t="str">
        <f t="shared" si="66"/>
        <v>TiH</v>
      </c>
      <c r="X120">
        <f t="shared" si="67"/>
        <v>0.5499999999999998</v>
      </c>
      <c r="Y120">
        <f t="shared" si="68"/>
        <v>2</v>
      </c>
    </row>
    <row r="121" spans="3:25" ht="12.75">
      <c r="C121" t="s">
        <v>632</v>
      </c>
      <c r="D121" t="s">
        <v>587</v>
      </c>
      <c r="E121" s="1">
        <f t="shared" si="54"/>
        <v>49</v>
      </c>
      <c r="F121" s="1">
        <f t="shared" si="55"/>
        <v>15</v>
      </c>
      <c r="G121" s="22">
        <f t="shared" si="56"/>
        <v>1.5</v>
      </c>
      <c r="H121" s="22">
        <f t="shared" si="57"/>
        <v>2.1</v>
      </c>
      <c r="I121" s="23">
        <f t="shared" si="58"/>
        <v>4</v>
      </c>
      <c r="J121" s="23">
        <f t="shared" si="59"/>
        <v>3</v>
      </c>
      <c r="K121" s="1" t="str">
        <f t="shared" si="60"/>
        <v>InP</v>
      </c>
      <c r="L121" s="1">
        <f t="shared" si="61"/>
        <v>0.6000000000000001</v>
      </c>
      <c r="M121" s="1">
        <f t="shared" si="62"/>
        <v>3.5</v>
      </c>
      <c r="O121" t="s">
        <v>611</v>
      </c>
      <c r="P121" t="s">
        <v>606</v>
      </c>
      <c r="Q121">
        <f t="shared" si="63"/>
        <v>40</v>
      </c>
      <c r="R121">
        <f t="shared" si="63"/>
        <v>1</v>
      </c>
      <c r="S121" s="17">
        <f t="shared" si="64"/>
        <v>1.5</v>
      </c>
      <c r="T121" s="17">
        <f t="shared" si="64"/>
        <v>2.15</v>
      </c>
      <c r="U121" s="18">
        <f t="shared" si="65"/>
        <v>4</v>
      </c>
      <c r="V121" s="18">
        <f t="shared" si="65"/>
        <v>1</v>
      </c>
      <c r="W121" t="str">
        <f t="shared" si="66"/>
        <v>ZrH</v>
      </c>
      <c r="X121">
        <f t="shared" si="67"/>
        <v>0.6499999999999999</v>
      </c>
      <c r="Y121">
        <f t="shared" si="68"/>
        <v>2.5</v>
      </c>
    </row>
    <row r="122" spans="3:25" ht="12.75">
      <c r="C122" t="s">
        <v>632</v>
      </c>
      <c r="D122" t="s">
        <v>593</v>
      </c>
      <c r="E122" s="1">
        <f t="shared" si="54"/>
        <v>49</v>
      </c>
      <c r="F122" s="1">
        <f t="shared" si="55"/>
        <v>33</v>
      </c>
      <c r="G122" s="22">
        <f t="shared" si="56"/>
        <v>1.5</v>
      </c>
      <c r="H122" s="22">
        <f t="shared" si="57"/>
        <v>2</v>
      </c>
      <c r="I122" s="23">
        <f t="shared" si="58"/>
        <v>4</v>
      </c>
      <c r="J122" s="23">
        <f t="shared" si="59"/>
        <v>4</v>
      </c>
      <c r="K122" s="1" t="str">
        <f t="shared" si="60"/>
        <v>InAs</v>
      </c>
      <c r="L122" s="1">
        <f t="shared" si="61"/>
        <v>0.5</v>
      </c>
      <c r="M122" s="1">
        <f t="shared" si="62"/>
        <v>4</v>
      </c>
      <c r="O122" t="s">
        <v>604</v>
      </c>
      <c r="P122" t="s">
        <v>583</v>
      </c>
      <c r="Q122">
        <f t="shared" si="63"/>
        <v>25</v>
      </c>
      <c r="R122">
        <f t="shared" si="63"/>
        <v>16</v>
      </c>
      <c r="S122" s="17">
        <f t="shared" si="64"/>
        <v>1.4</v>
      </c>
      <c r="T122" s="17">
        <f t="shared" si="64"/>
        <v>2.5</v>
      </c>
      <c r="U122" s="18">
        <f t="shared" si="65"/>
        <v>3</v>
      </c>
      <c r="V122" s="18">
        <f t="shared" si="65"/>
        <v>3</v>
      </c>
      <c r="W122" t="str">
        <f t="shared" si="66"/>
        <v>MnS</v>
      </c>
      <c r="X122">
        <f t="shared" si="67"/>
        <v>1.1</v>
      </c>
      <c r="Y122">
        <f t="shared" si="68"/>
        <v>3</v>
      </c>
    </row>
    <row r="123" spans="3:25" ht="12.75">
      <c r="C123" t="s">
        <v>632</v>
      </c>
      <c r="D123" t="s">
        <v>600</v>
      </c>
      <c r="E123" s="3">
        <f t="shared" si="54"/>
        <v>49</v>
      </c>
      <c r="F123" s="3">
        <f t="shared" si="55"/>
        <v>51</v>
      </c>
      <c r="G123" s="22">
        <f t="shared" si="56"/>
        <v>1.5</v>
      </c>
      <c r="H123" s="22">
        <f t="shared" si="57"/>
        <v>1.8</v>
      </c>
      <c r="I123" s="23">
        <f t="shared" si="58"/>
        <v>4</v>
      </c>
      <c r="J123" s="23">
        <f t="shared" si="59"/>
        <v>5</v>
      </c>
      <c r="K123" s="3" t="str">
        <f t="shared" si="60"/>
        <v>InSb</v>
      </c>
      <c r="L123" s="3">
        <f t="shared" si="61"/>
        <v>0.30000000000000004</v>
      </c>
      <c r="M123" s="3">
        <f t="shared" si="62"/>
        <v>4.5</v>
      </c>
      <c r="O123" t="s">
        <v>604</v>
      </c>
      <c r="P123" t="s">
        <v>592</v>
      </c>
      <c r="Q123">
        <f t="shared" si="63"/>
        <v>25</v>
      </c>
      <c r="R123">
        <f t="shared" si="63"/>
        <v>34</v>
      </c>
      <c r="S123" s="17">
        <f t="shared" si="64"/>
        <v>1.4</v>
      </c>
      <c r="T123" s="17">
        <f t="shared" si="64"/>
        <v>2.4</v>
      </c>
      <c r="U123" s="18">
        <f t="shared" si="65"/>
        <v>3</v>
      </c>
      <c r="V123" s="18">
        <f t="shared" si="65"/>
        <v>4</v>
      </c>
      <c r="W123" t="str">
        <f t="shared" si="66"/>
        <v>MnSe</v>
      </c>
      <c r="X123">
        <f t="shared" si="67"/>
        <v>1</v>
      </c>
      <c r="Y123">
        <f t="shared" si="68"/>
        <v>3.5</v>
      </c>
    </row>
    <row r="124" spans="1:10" ht="12.75">
      <c r="A124" s="26"/>
      <c r="G124" s="17"/>
      <c r="H124" s="17"/>
      <c r="I124" s="18"/>
      <c r="J124" s="18"/>
    </row>
    <row r="125" spans="1:3" ht="12.75">
      <c r="A125" s="26"/>
      <c r="C125" t="s">
        <v>645</v>
      </c>
    </row>
    <row r="126" spans="5:15" ht="12.75">
      <c r="E126" s="330" t="s">
        <v>564</v>
      </c>
      <c r="F126" s="330"/>
      <c r="G126" s="7" t="s">
        <v>715</v>
      </c>
      <c r="H126" s="7" t="s">
        <v>716</v>
      </c>
      <c r="I126" s="8" t="s">
        <v>565</v>
      </c>
      <c r="J126" s="8"/>
      <c r="K126" s="6" t="s">
        <v>566</v>
      </c>
      <c r="L126" s="10" t="s">
        <v>567</v>
      </c>
      <c r="M126" s="11" t="s">
        <v>568</v>
      </c>
      <c r="O126" t="s">
        <v>646</v>
      </c>
    </row>
    <row r="127" spans="2:17" ht="12.75">
      <c r="B127" s="25" t="s">
        <v>581</v>
      </c>
      <c r="C127" t="s">
        <v>637</v>
      </c>
      <c r="D127" t="s">
        <v>571</v>
      </c>
      <c r="E127" s="3">
        <f aca="true" t="shared" si="69" ref="E127:E132">MATCH($C127,$D$146:$D$247,0)</f>
        <v>4</v>
      </c>
      <c r="F127" s="3">
        <f aca="true" t="shared" si="70" ref="F127:F132">MATCH($D127,$D$146:$D$247,0)</f>
        <v>8</v>
      </c>
      <c r="G127" s="22">
        <f aca="true" t="shared" si="71" ref="G127:G132">IF(INDEX($F$146:$F$247,$E127,1)="","",INDEX($F$146:$F$247,$E127,1))</f>
        <v>1.5</v>
      </c>
      <c r="H127" s="22">
        <f aca="true" t="shared" si="72" ref="H127:H132">IF(INDEX($F$146:$F$247,$F127,1)="","",INDEX($F$146:$F$247,$F127,1))</f>
        <v>3.5</v>
      </c>
      <c r="I127" s="23">
        <f aca="true" t="shared" si="73" ref="I127:I132">IF(INDEX($E$146:$E$247,$E127,1)="","",INDEX($E$146:$E$247,$E127,1))</f>
        <v>1</v>
      </c>
      <c r="J127" s="23">
        <f aca="true" t="shared" si="74" ref="J127:J132">IF(INDEX($E$146:$E$247,$F127,1)="","",INDEX($E$146:$E$247,$F127,1))</f>
        <v>2</v>
      </c>
      <c r="K127" s="3" t="str">
        <f aca="true" t="shared" si="75" ref="K127:K132">C127&amp;D127</f>
        <v>BeO</v>
      </c>
      <c r="L127" s="3">
        <f aca="true" t="shared" si="76" ref="L127:L132">ABS(G127-H127)</f>
        <v>2</v>
      </c>
      <c r="M127" s="3">
        <f aca="true" t="shared" si="77" ref="M127:M132">(I127+J127)/2</f>
        <v>1.5</v>
      </c>
      <c r="P127" s="7" t="s">
        <v>567</v>
      </c>
      <c r="Q127" s="27" t="s">
        <v>568</v>
      </c>
    </row>
    <row r="128" spans="3:17" ht="12.75">
      <c r="C128" t="s">
        <v>647</v>
      </c>
      <c r="D128" t="s">
        <v>571</v>
      </c>
      <c r="E128" s="3">
        <f t="shared" si="69"/>
        <v>30</v>
      </c>
      <c r="F128" s="3">
        <f t="shared" si="70"/>
        <v>8</v>
      </c>
      <c r="G128" s="22">
        <f t="shared" si="71"/>
        <v>1.5</v>
      </c>
      <c r="H128" s="22">
        <f t="shared" si="72"/>
        <v>3.5</v>
      </c>
      <c r="I128" s="23">
        <f t="shared" si="73"/>
        <v>3</v>
      </c>
      <c r="J128" s="23">
        <f t="shared" si="74"/>
        <v>2</v>
      </c>
      <c r="K128" s="3" t="str">
        <f t="shared" si="75"/>
        <v>ZnO</v>
      </c>
      <c r="L128" s="3">
        <f t="shared" si="76"/>
        <v>2</v>
      </c>
      <c r="M128" s="3">
        <f t="shared" si="77"/>
        <v>2.5</v>
      </c>
      <c r="P128">
        <v>0.7</v>
      </c>
      <c r="Q128">
        <v>5.1</v>
      </c>
    </row>
    <row r="129" spans="3:17" ht="12.75">
      <c r="C129" t="s">
        <v>618</v>
      </c>
      <c r="D129" t="s">
        <v>595</v>
      </c>
      <c r="E129" s="3">
        <f t="shared" si="69"/>
        <v>12</v>
      </c>
      <c r="F129" s="3">
        <f t="shared" si="70"/>
        <v>52</v>
      </c>
      <c r="G129" s="22">
        <f t="shared" si="71"/>
        <v>1.2</v>
      </c>
      <c r="H129" s="22">
        <f t="shared" si="72"/>
        <v>2.1</v>
      </c>
      <c r="I129" s="23">
        <f t="shared" si="73"/>
        <v>2</v>
      </c>
      <c r="J129" s="23">
        <f t="shared" si="74"/>
        <v>5</v>
      </c>
      <c r="K129" s="3" t="str">
        <f t="shared" si="75"/>
        <v>MgTe</v>
      </c>
      <c r="L129" s="3">
        <f t="shared" si="76"/>
        <v>0.9000000000000001</v>
      </c>
      <c r="M129" s="3">
        <f t="shared" si="77"/>
        <v>3.5</v>
      </c>
      <c r="P129">
        <v>1</v>
      </c>
      <c r="Q129">
        <v>3.8</v>
      </c>
    </row>
    <row r="130" spans="2:17" ht="12.75">
      <c r="B130" s="28" t="s">
        <v>597</v>
      </c>
      <c r="C130" t="s">
        <v>640</v>
      </c>
      <c r="D130" t="s">
        <v>622</v>
      </c>
      <c r="E130" s="3">
        <f t="shared" si="69"/>
        <v>13</v>
      </c>
      <c r="F130" s="3">
        <f t="shared" si="70"/>
        <v>7</v>
      </c>
      <c r="G130" s="22">
        <f t="shared" si="71"/>
        <v>1.5</v>
      </c>
      <c r="H130" s="22">
        <f t="shared" si="72"/>
        <v>3</v>
      </c>
      <c r="I130" s="23">
        <f t="shared" si="73"/>
        <v>2</v>
      </c>
      <c r="J130" s="23">
        <f t="shared" si="74"/>
        <v>2</v>
      </c>
      <c r="K130" s="3" t="str">
        <f t="shared" si="75"/>
        <v>AlN</v>
      </c>
      <c r="L130" s="3">
        <f t="shared" si="76"/>
        <v>1.5</v>
      </c>
      <c r="M130" s="3">
        <f t="shared" si="77"/>
        <v>2</v>
      </c>
      <c r="P130">
        <v>1.5</v>
      </c>
      <c r="Q130">
        <v>2.7</v>
      </c>
    </row>
    <row r="131" spans="3:17" ht="12.75">
      <c r="C131" t="s">
        <v>642</v>
      </c>
      <c r="D131" t="s">
        <v>622</v>
      </c>
      <c r="E131" s="3">
        <f t="shared" si="69"/>
        <v>31</v>
      </c>
      <c r="F131" s="3">
        <f t="shared" si="70"/>
        <v>7</v>
      </c>
      <c r="G131" s="22">
        <f t="shared" si="71"/>
        <v>1.5</v>
      </c>
      <c r="H131" s="22">
        <f t="shared" si="72"/>
        <v>3</v>
      </c>
      <c r="I131" s="23">
        <f t="shared" si="73"/>
        <v>3</v>
      </c>
      <c r="J131" s="23">
        <f t="shared" si="74"/>
        <v>2</v>
      </c>
      <c r="K131" s="3" t="str">
        <f t="shared" si="75"/>
        <v>GaN</v>
      </c>
      <c r="L131" s="3">
        <f t="shared" si="76"/>
        <v>1.5</v>
      </c>
      <c r="M131" s="3">
        <f t="shared" si="77"/>
        <v>2.5</v>
      </c>
      <c r="P131">
        <v>2</v>
      </c>
      <c r="Q131">
        <v>2</v>
      </c>
    </row>
    <row r="132" spans="3:17" ht="12.75">
      <c r="C132" t="s">
        <v>632</v>
      </c>
      <c r="D132" t="s">
        <v>622</v>
      </c>
      <c r="E132" s="3">
        <f t="shared" si="69"/>
        <v>49</v>
      </c>
      <c r="F132" s="3">
        <f t="shared" si="70"/>
        <v>7</v>
      </c>
      <c r="G132" s="22">
        <f t="shared" si="71"/>
        <v>1.5</v>
      </c>
      <c r="H132" s="22">
        <f t="shared" si="72"/>
        <v>3</v>
      </c>
      <c r="I132" s="23">
        <f t="shared" si="73"/>
        <v>4</v>
      </c>
      <c r="J132" s="23">
        <f t="shared" si="74"/>
        <v>2</v>
      </c>
      <c r="K132" s="3" t="str">
        <f t="shared" si="75"/>
        <v>InN</v>
      </c>
      <c r="L132" s="3">
        <f t="shared" si="76"/>
        <v>1.5</v>
      </c>
      <c r="M132" s="3">
        <f t="shared" si="77"/>
        <v>3</v>
      </c>
      <c r="P132">
        <v>2.5</v>
      </c>
      <c r="Q132">
        <v>1.5</v>
      </c>
    </row>
    <row r="133" spans="5:13" ht="12.75">
      <c r="E133" s="3"/>
      <c r="F133" s="3"/>
      <c r="G133" s="22"/>
      <c r="H133" s="22"/>
      <c r="I133" s="23"/>
      <c r="J133" s="23"/>
      <c r="K133" s="3"/>
      <c r="L133" s="3"/>
      <c r="M133" s="3"/>
    </row>
    <row r="134" ht="12.75"/>
    <row r="135" spans="3:13" ht="12.75">
      <c r="C135" t="s">
        <v>648</v>
      </c>
      <c r="L135" s="10" t="s">
        <v>567</v>
      </c>
      <c r="M135" s="11" t="s">
        <v>568</v>
      </c>
    </row>
    <row r="136" spans="3:13" ht="12.75">
      <c r="C136" s="2" t="s">
        <v>615</v>
      </c>
      <c r="D136" t="s">
        <v>584</v>
      </c>
      <c r="E136" s="3">
        <f aca="true" t="shared" si="78" ref="E136:E142">MATCH($C136,$D$146:$D$247,0)</f>
        <v>47</v>
      </c>
      <c r="F136" s="3">
        <f aca="true" t="shared" si="79" ref="F136:F142">MATCH($D136,$D$146:$D$247,0)</f>
        <v>53</v>
      </c>
      <c r="G136" s="22">
        <f aca="true" t="shared" si="80" ref="G136:G142">IF(INDEX($F$146:$F$247,$E136,1)="","",INDEX($F$146:$F$247,$E136,1))</f>
        <v>1.8</v>
      </c>
      <c r="H136" s="22">
        <f aca="true" t="shared" si="81" ref="H136:H142">IF(INDEX($F$146:$F$247,$F136,1)="","",INDEX($F$146:$F$247,$F136,1))</f>
        <v>2.55</v>
      </c>
      <c r="I136" s="23">
        <f aca="true" t="shared" si="82" ref="I136:I142">IF(INDEX($E$146:$E$247,$E136,1)="","",INDEX($E$146:$E$247,$E136,1))</f>
        <v>4</v>
      </c>
      <c r="J136" s="23">
        <f aca="true" t="shared" si="83" ref="J136:J142">IF(INDEX($E$146:$E$247,$F136,1)="","",INDEX($E$146:$E$247,$F136,1))</f>
        <v>5</v>
      </c>
      <c r="K136" s="3" t="str">
        <f aca="true" t="shared" si="84" ref="K136:K142">C136&amp;D136</f>
        <v>AgI</v>
      </c>
      <c r="L136" s="3">
        <f aca="true" t="shared" si="85" ref="L136:L142">ABS(G136-H136)</f>
        <v>0.7499999999999998</v>
      </c>
      <c r="M136" s="3">
        <f aca="true" t="shared" si="86" ref="M136:M142">(I136+J136)/2</f>
        <v>4.5</v>
      </c>
    </row>
    <row r="137" spans="3:13" ht="12.75">
      <c r="C137" t="s">
        <v>647</v>
      </c>
      <c r="D137" t="s">
        <v>583</v>
      </c>
      <c r="E137" s="3">
        <f t="shared" si="78"/>
        <v>30</v>
      </c>
      <c r="F137" s="3">
        <f t="shared" si="79"/>
        <v>16</v>
      </c>
      <c r="G137" s="22">
        <f t="shared" si="80"/>
        <v>1.5</v>
      </c>
      <c r="H137" s="22">
        <f t="shared" si="81"/>
        <v>2.5</v>
      </c>
      <c r="I137" s="23">
        <f t="shared" si="82"/>
        <v>3</v>
      </c>
      <c r="J137" s="23">
        <f t="shared" si="83"/>
        <v>3</v>
      </c>
      <c r="K137" s="3" t="str">
        <f t="shared" si="84"/>
        <v>ZnS</v>
      </c>
      <c r="L137" s="3">
        <f t="shared" si="85"/>
        <v>1</v>
      </c>
      <c r="M137" s="3">
        <f t="shared" si="86"/>
        <v>3</v>
      </c>
    </row>
    <row r="138" spans="3:13" ht="12.75">
      <c r="C138" t="s">
        <v>647</v>
      </c>
      <c r="D138" t="s">
        <v>592</v>
      </c>
      <c r="E138" s="3">
        <f t="shared" si="78"/>
        <v>30</v>
      </c>
      <c r="F138" s="3">
        <f t="shared" si="79"/>
        <v>34</v>
      </c>
      <c r="G138" s="22">
        <f t="shared" si="80"/>
        <v>1.5</v>
      </c>
      <c r="H138" s="22">
        <f t="shared" si="81"/>
        <v>2.4</v>
      </c>
      <c r="I138" s="23">
        <f t="shared" si="82"/>
        <v>3</v>
      </c>
      <c r="J138" s="23">
        <f t="shared" si="83"/>
        <v>4</v>
      </c>
      <c r="K138" s="3" t="str">
        <f t="shared" si="84"/>
        <v>ZnSe</v>
      </c>
      <c r="L138" s="3">
        <f t="shared" si="85"/>
        <v>0.8999999999999999</v>
      </c>
      <c r="M138" s="3">
        <f t="shared" si="86"/>
        <v>3.5</v>
      </c>
    </row>
    <row r="139" spans="3:13" ht="12.75">
      <c r="C139" t="s">
        <v>647</v>
      </c>
      <c r="D139" t="s">
        <v>595</v>
      </c>
      <c r="E139" s="3">
        <f t="shared" si="78"/>
        <v>30</v>
      </c>
      <c r="F139" s="3">
        <f t="shared" si="79"/>
        <v>52</v>
      </c>
      <c r="G139" s="22">
        <f t="shared" si="80"/>
        <v>1.5</v>
      </c>
      <c r="H139" s="22">
        <f t="shared" si="81"/>
        <v>2.1</v>
      </c>
      <c r="I139" s="23">
        <f t="shared" si="82"/>
        <v>3</v>
      </c>
      <c r="J139" s="23">
        <f t="shared" si="83"/>
        <v>5</v>
      </c>
      <c r="K139" s="3" t="str">
        <f t="shared" si="84"/>
        <v>ZnTe</v>
      </c>
      <c r="L139" s="3">
        <f t="shared" si="85"/>
        <v>0.6000000000000001</v>
      </c>
      <c r="M139" s="3">
        <f t="shared" si="86"/>
        <v>4</v>
      </c>
    </row>
    <row r="140" spans="3:13" ht="12.75">
      <c r="C140" t="s">
        <v>631</v>
      </c>
      <c r="D140" t="s">
        <v>583</v>
      </c>
      <c r="E140" s="1">
        <f t="shared" si="78"/>
        <v>48</v>
      </c>
      <c r="F140" s="1">
        <f t="shared" si="79"/>
        <v>16</v>
      </c>
      <c r="G140" s="22">
        <f t="shared" si="80"/>
        <v>1.5</v>
      </c>
      <c r="H140" s="22">
        <f t="shared" si="81"/>
        <v>2.5</v>
      </c>
      <c r="I140" s="23">
        <f t="shared" si="82"/>
        <v>4</v>
      </c>
      <c r="J140" s="23">
        <f t="shared" si="83"/>
        <v>3</v>
      </c>
      <c r="K140" s="1" t="str">
        <f t="shared" si="84"/>
        <v>CdS</v>
      </c>
      <c r="L140" s="1">
        <f t="shared" si="85"/>
        <v>1</v>
      </c>
      <c r="M140" s="1">
        <f t="shared" si="86"/>
        <v>3.5</v>
      </c>
    </row>
    <row r="141" spans="3:13" ht="12.75">
      <c r="C141" t="s">
        <v>631</v>
      </c>
      <c r="D141" t="s">
        <v>592</v>
      </c>
      <c r="E141" s="1">
        <f t="shared" si="78"/>
        <v>48</v>
      </c>
      <c r="F141" s="1">
        <f t="shared" si="79"/>
        <v>34</v>
      </c>
      <c r="G141" s="22">
        <f t="shared" si="80"/>
        <v>1.5</v>
      </c>
      <c r="H141" s="22">
        <f t="shared" si="81"/>
        <v>2.4</v>
      </c>
      <c r="I141" s="23">
        <f t="shared" si="82"/>
        <v>4</v>
      </c>
      <c r="J141" s="23">
        <f t="shared" si="83"/>
        <v>4</v>
      </c>
      <c r="K141" s="1" t="str">
        <f t="shared" si="84"/>
        <v>CdSe</v>
      </c>
      <c r="L141" s="1">
        <f t="shared" si="85"/>
        <v>0.8999999999999999</v>
      </c>
      <c r="M141" s="1">
        <f t="shared" si="86"/>
        <v>4</v>
      </c>
    </row>
    <row r="142" spans="3:21" ht="12.75">
      <c r="C142" t="s">
        <v>649</v>
      </c>
      <c r="D142" t="s">
        <v>630</v>
      </c>
      <c r="E142" s="1">
        <f t="shared" si="78"/>
        <v>14</v>
      </c>
      <c r="F142" s="1">
        <f t="shared" si="79"/>
        <v>6</v>
      </c>
      <c r="G142" s="22">
        <f t="shared" si="80"/>
        <v>1.8</v>
      </c>
      <c r="H142" s="22">
        <f t="shared" si="81"/>
        <v>2.5</v>
      </c>
      <c r="I142" s="23">
        <f t="shared" si="82"/>
        <v>3</v>
      </c>
      <c r="J142" s="23">
        <f t="shared" si="83"/>
        <v>2</v>
      </c>
      <c r="K142" s="1" t="str">
        <f t="shared" si="84"/>
        <v>SiC</v>
      </c>
      <c r="L142" s="1">
        <f t="shared" si="85"/>
        <v>0.7</v>
      </c>
      <c r="M142" s="1">
        <f t="shared" si="86"/>
        <v>2.5</v>
      </c>
      <c r="O142" s="5"/>
      <c r="U142" s="3"/>
    </row>
    <row r="143" spans="3:16" ht="15">
      <c r="C143" s="2"/>
      <c r="P143" s="29"/>
    </row>
    <row r="144" spans="6:15" ht="12.75">
      <c r="F144" s="328" t="s">
        <v>650</v>
      </c>
      <c r="G144" s="328"/>
      <c r="H144" s="328"/>
      <c r="O144" s="5"/>
    </row>
    <row r="145" spans="3:15" ht="12.75">
      <c r="C145" s="6" t="s">
        <v>651</v>
      </c>
      <c r="D145" s="8" t="s">
        <v>652</v>
      </c>
      <c r="E145" s="8" t="s">
        <v>653</v>
      </c>
      <c r="F145" s="30" t="s">
        <v>654</v>
      </c>
      <c r="G145" s="6" t="s">
        <v>655</v>
      </c>
      <c r="H145" s="31" t="s">
        <v>654</v>
      </c>
      <c r="O145" s="5"/>
    </row>
    <row r="146" spans="3:15" ht="12.75">
      <c r="C146" s="32">
        <v>1</v>
      </c>
      <c r="D146" s="33" t="s">
        <v>606</v>
      </c>
      <c r="E146">
        <v>1</v>
      </c>
      <c r="F146" s="34">
        <f aca="true" t="shared" si="87" ref="F146:F177">HLOOKUP($F$145,$G$145:$H$247,ROW()-ROW($G$144),FALSE)</f>
        <v>2.15</v>
      </c>
      <c r="G146" s="35">
        <v>2.2</v>
      </c>
      <c r="H146">
        <v>2.15</v>
      </c>
      <c r="O146" s="5"/>
    </row>
    <row r="147" spans="3:15" ht="15">
      <c r="C147" s="32">
        <v>2</v>
      </c>
      <c r="D147" s="33" t="s">
        <v>656</v>
      </c>
      <c r="E147">
        <v>1</v>
      </c>
      <c r="F147" s="34">
        <f t="shared" si="87"/>
        <v>0</v>
      </c>
      <c r="G147" s="35"/>
      <c r="O147" s="29"/>
    </row>
    <row r="148" spans="3:15" ht="15">
      <c r="C148" s="32">
        <v>3</v>
      </c>
      <c r="D148" s="33" t="s">
        <v>601</v>
      </c>
      <c r="E148">
        <v>1</v>
      </c>
      <c r="F148" s="34">
        <f t="shared" si="87"/>
        <v>0.95</v>
      </c>
      <c r="G148" s="35">
        <v>0.98</v>
      </c>
      <c r="H148">
        <v>0.95</v>
      </c>
      <c r="O148" s="29"/>
    </row>
    <row r="149" spans="3:15" ht="15">
      <c r="C149" s="32">
        <v>4</v>
      </c>
      <c r="D149" s="33" t="s">
        <v>637</v>
      </c>
      <c r="E149">
        <v>1</v>
      </c>
      <c r="F149" s="34">
        <f t="shared" si="87"/>
        <v>1.5</v>
      </c>
      <c r="G149" s="35">
        <v>1.57</v>
      </c>
      <c r="H149">
        <v>1.5</v>
      </c>
      <c r="O149" s="29"/>
    </row>
    <row r="150" spans="3:15" ht="15">
      <c r="C150" s="32">
        <v>5</v>
      </c>
      <c r="D150" s="33" t="s">
        <v>638</v>
      </c>
      <c r="E150">
        <v>1</v>
      </c>
      <c r="F150" s="34">
        <f t="shared" si="87"/>
        <v>2</v>
      </c>
      <c r="G150" s="35">
        <v>2.04</v>
      </c>
      <c r="H150" s="34">
        <v>2</v>
      </c>
      <c r="O150" s="29"/>
    </row>
    <row r="151" spans="3:8" ht="12.75">
      <c r="C151" s="32">
        <v>6</v>
      </c>
      <c r="D151" s="33" t="s">
        <v>630</v>
      </c>
      <c r="E151">
        <v>2</v>
      </c>
      <c r="F151" s="34">
        <f t="shared" si="87"/>
        <v>2.5</v>
      </c>
      <c r="G151" s="35">
        <v>2.55</v>
      </c>
      <c r="H151">
        <v>2.5</v>
      </c>
    </row>
    <row r="152" spans="3:15" ht="15">
      <c r="C152" s="32">
        <v>7</v>
      </c>
      <c r="D152" s="33" t="s">
        <v>622</v>
      </c>
      <c r="E152">
        <v>2</v>
      </c>
      <c r="F152" s="34">
        <f t="shared" si="87"/>
        <v>3</v>
      </c>
      <c r="G152" s="35">
        <v>3.04</v>
      </c>
      <c r="H152" s="34">
        <v>3</v>
      </c>
      <c r="O152" s="29"/>
    </row>
    <row r="153" spans="3:15" ht="15">
      <c r="C153" s="32">
        <v>8</v>
      </c>
      <c r="D153" s="33" t="s">
        <v>571</v>
      </c>
      <c r="E153">
        <v>2</v>
      </c>
      <c r="F153" s="34">
        <f t="shared" si="87"/>
        <v>3.5</v>
      </c>
      <c r="G153" s="35">
        <v>3.44</v>
      </c>
      <c r="H153">
        <v>3.5</v>
      </c>
      <c r="O153" s="29"/>
    </row>
    <row r="154" spans="3:15" ht="15">
      <c r="C154" s="32">
        <v>9</v>
      </c>
      <c r="D154" s="33" t="s">
        <v>602</v>
      </c>
      <c r="E154">
        <v>2</v>
      </c>
      <c r="F154" s="34">
        <f t="shared" si="87"/>
        <v>3.95</v>
      </c>
      <c r="G154" s="35">
        <v>3.98</v>
      </c>
      <c r="H154">
        <v>3.95</v>
      </c>
      <c r="O154" s="29"/>
    </row>
    <row r="155" spans="3:15" ht="15">
      <c r="C155" s="32">
        <v>10</v>
      </c>
      <c r="D155" s="33" t="s">
        <v>657</v>
      </c>
      <c r="E155">
        <v>2</v>
      </c>
      <c r="F155" s="34">
        <f t="shared" si="87"/>
        <v>0</v>
      </c>
      <c r="G155" s="35"/>
      <c r="O155" s="29"/>
    </row>
    <row r="156" spans="3:15" ht="15">
      <c r="C156" s="32">
        <v>11</v>
      </c>
      <c r="D156" s="33" t="s">
        <v>607</v>
      </c>
      <c r="E156">
        <v>2</v>
      </c>
      <c r="F156" s="34">
        <f t="shared" si="87"/>
        <v>0.9</v>
      </c>
      <c r="G156" s="35">
        <v>0.93</v>
      </c>
      <c r="H156">
        <v>0.9</v>
      </c>
      <c r="O156" s="29"/>
    </row>
    <row r="157" spans="3:15" ht="15">
      <c r="C157" s="32">
        <v>12</v>
      </c>
      <c r="D157" s="33" t="s">
        <v>618</v>
      </c>
      <c r="E157">
        <v>2</v>
      </c>
      <c r="F157" s="34">
        <f t="shared" si="87"/>
        <v>1.2</v>
      </c>
      <c r="G157" s="35">
        <v>1.31</v>
      </c>
      <c r="H157">
        <v>1.2</v>
      </c>
      <c r="O157" s="29"/>
    </row>
    <row r="158" spans="3:8" ht="12.75">
      <c r="C158" s="32">
        <v>13</v>
      </c>
      <c r="D158" s="33" t="s">
        <v>640</v>
      </c>
      <c r="E158">
        <v>2</v>
      </c>
      <c r="F158" s="34">
        <f t="shared" si="87"/>
        <v>1.5</v>
      </c>
      <c r="G158" s="35">
        <v>1.61</v>
      </c>
      <c r="H158">
        <v>1.5</v>
      </c>
    </row>
    <row r="159" spans="3:15" ht="15">
      <c r="C159" s="32">
        <v>14</v>
      </c>
      <c r="D159" s="33" t="s">
        <v>649</v>
      </c>
      <c r="E159">
        <v>3</v>
      </c>
      <c r="F159" s="34">
        <f t="shared" si="87"/>
        <v>1.8</v>
      </c>
      <c r="G159" s="35"/>
      <c r="H159">
        <v>1.8</v>
      </c>
      <c r="O159" s="29"/>
    </row>
    <row r="160" spans="3:15" ht="15">
      <c r="C160" s="32">
        <v>15</v>
      </c>
      <c r="D160" s="33" t="s">
        <v>587</v>
      </c>
      <c r="E160">
        <v>3</v>
      </c>
      <c r="F160" s="34">
        <f t="shared" si="87"/>
        <v>2.1</v>
      </c>
      <c r="G160" s="35">
        <v>2.19</v>
      </c>
      <c r="H160">
        <v>2.1</v>
      </c>
      <c r="O160" s="29"/>
    </row>
    <row r="161" spans="3:15" ht="15">
      <c r="C161" s="32">
        <v>16</v>
      </c>
      <c r="D161" s="33" t="s">
        <v>583</v>
      </c>
      <c r="E161">
        <v>3</v>
      </c>
      <c r="F161" s="34">
        <f t="shared" si="87"/>
        <v>2.5</v>
      </c>
      <c r="G161" s="35">
        <v>2.58</v>
      </c>
      <c r="H161">
        <v>2.5</v>
      </c>
      <c r="O161" s="29"/>
    </row>
    <row r="162" spans="3:15" ht="15">
      <c r="C162" s="32">
        <v>17</v>
      </c>
      <c r="D162" s="33" t="s">
        <v>578</v>
      </c>
      <c r="E162">
        <v>3</v>
      </c>
      <c r="F162" s="34">
        <f t="shared" si="87"/>
        <v>3</v>
      </c>
      <c r="G162" s="35">
        <v>3.16</v>
      </c>
      <c r="H162" s="34">
        <v>3</v>
      </c>
      <c r="O162" s="29"/>
    </row>
    <row r="163" spans="3:15" ht="15">
      <c r="C163" s="32">
        <v>18</v>
      </c>
      <c r="D163" s="33" t="s">
        <v>658</v>
      </c>
      <c r="E163">
        <v>3</v>
      </c>
      <c r="F163" s="34">
        <f t="shared" si="87"/>
        <v>0</v>
      </c>
      <c r="G163" s="35"/>
      <c r="O163" s="29"/>
    </row>
    <row r="164" spans="3:15" ht="15">
      <c r="C164" s="32">
        <v>19</v>
      </c>
      <c r="D164" s="33" t="s">
        <v>609</v>
      </c>
      <c r="E164">
        <v>3</v>
      </c>
      <c r="F164" s="34">
        <f t="shared" si="87"/>
        <v>0.8</v>
      </c>
      <c r="G164" s="35">
        <v>0.82</v>
      </c>
      <c r="H164" s="35">
        <v>0.8</v>
      </c>
      <c r="O164" s="29"/>
    </row>
    <row r="165" spans="3:15" ht="15">
      <c r="C165" s="32">
        <v>20</v>
      </c>
      <c r="D165" s="33" t="s">
        <v>616</v>
      </c>
      <c r="E165">
        <v>3</v>
      </c>
      <c r="F165" s="34">
        <f t="shared" si="87"/>
        <v>1</v>
      </c>
      <c r="G165" s="35">
        <v>1</v>
      </c>
      <c r="H165" s="34">
        <v>1</v>
      </c>
      <c r="O165" s="29"/>
    </row>
    <row r="166" spans="3:15" ht="15">
      <c r="C166" s="32">
        <v>21</v>
      </c>
      <c r="D166" s="33" t="s">
        <v>621</v>
      </c>
      <c r="E166">
        <v>3</v>
      </c>
      <c r="F166" s="34">
        <f t="shared" si="87"/>
        <v>1.3</v>
      </c>
      <c r="G166" s="35">
        <v>1.36</v>
      </c>
      <c r="H166">
        <v>1.3</v>
      </c>
      <c r="O166" s="29"/>
    </row>
    <row r="167" spans="3:8" ht="12.75">
      <c r="C167" s="32">
        <v>22</v>
      </c>
      <c r="D167" s="33" t="s">
        <v>570</v>
      </c>
      <c r="E167">
        <v>3</v>
      </c>
      <c r="F167" s="34">
        <f t="shared" si="87"/>
        <v>1.6</v>
      </c>
      <c r="G167" s="35">
        <v>1.54</v>
      </c>
      <c r="H167">
        <v>1.6</v>
      </c>
    </row>
    <row r="168" spans="3:9" ht="12.75">
      <c r="C168" s="32">
        <v>23</v>
      </c>
      <c r="D168" s="33" t="s">
        <v>589</v>
      </c>
      <c r="E168">
        <v>3</v>
      </c>
      <c r="F168" s="34">
        <f t="shared" si="87"/>
        <v>1.7</v>
      </c>
      <c r="G168" s="35">
        <v>1.63</v>
      </c>
      <c r="H168">
        <v>1.7</v>
      </c>
      <c r="I168" t="s">
        <v>659</v>
      </c>
    </row>
    <row r="169" spans="3:9" ht="12.75">
      <c r="C169" s="32">
        <v>24</v>
      </c>
      <c r="D169" s="33" t="s">
        <v>582</v>
      </c>
      <c r="E169">
        <v>3</v>
      </c>
      <c r="F169" s="34">
        <f t="shared" si="87"/>
        <v>1.6</v>
      </c>
      <c r="G169" s="35">
        <v>1.66</v>
      </c>
      <c r="H169">
        <v>1.6</v>
      </c>
      <c r="I169" t="s">
        <v>660</v>
      </c>
    </row>
    <row r="170" spans="3:9" ht="12.75">
      <c r="C170" s="32">
        <v>25</v>
      </c>
      <c r="D170" s="33" t="s">
        <v>604</v>
      </c>
      <c r="E170">
        <v>3</v>
      </c>
      <c r="F170" s="34">
        <f t="shared" si="87"/>
        <v>1.4</v>
      </c>
      <c r="G170" s="35">
        <v>1.55</v>
      </c>
      <c r="H170">
        <v>1.4</v>
      </c>
      <c r="I170" t="s">
        <v>661</v>
      </c>
    </row>
    <row r="171" spans="3:9" ht="12.75">
      <c r="C171" s="32">
        <v>26</v>
      </c>
      <c r="D171" s="33" t="s">
        <v>585</v>
      </c>
      <c r="E171">
        <v>3</v>
      </c>
      <c r="F171" s="34">
        <f t="shared" si="87"/>
        <v>1.7</v>
      </c>
      <c r="G171" s="35">
        <v>1.9</v>
      </c>
      <c r="H171">
        <v>1.7</v>
      </c>
      <c r="I171" t="s">
        <v>662</v>
      </c>
    </row>
    <row r="172" spans="3:8" ht="12.75">
      <c r="C172" s="32">
        <v>27</v>
      </c>
      <c r="D172" s="33" t="s">
        <v>594</v>
      </c>
      <c r="E172">
        <v>3</v>
      </c>
      <c r="F172" s="34">
        <f t="shared" si="87"/>
        <v>1.7</v>
      </c>
      <c r="G172" s="35">
        <v>1.88</v>
      </c>
      <c r="H172">
        <v>1.7</v>
      </c>
    </row>
    <row r="173" spans="3:8" ht="12.75">
      <c r="C173" s="32">
        <v>28</v>
      </c>
      <c r="D173" s="33" t="s">
        <v>596</v>
      </c>
      <c r="E173">
        <v>3</v>
      </c>
      <c r="F173" s="34">
        <f t="shared" si="87"/>
        <v>1.8</v>
      </c>
      <c r="G173" s="35">
        <v>1.91</v>
      </c>
      <c r="H173">
        <v>1.8</v>
      </c>
    </row>
    <row r="174" spans="3:9" ht="12.75">
      <c r="C174" s="32">
        <v>29</v>
      </c>
      <c r="D174" s="33" t="s">
        <v>605</v>
      </c>
      <c r="E174">
        <v>3</v>
      </c>
      <c r="F174" s="34">
        <f t="shared" si="87"/>
        <v>1.8</v>
      </c>
      <c r="G174" s="35">
        <v>1.95</v>
      </c>
      <c r="H174">
        <v>1.8</v>
      </c>
      <c r="I174" t="s">
        <v>663</v>
      </c>
    </row>
    <row r="175" spans="3:9" ht="12.75">
      <c r="C175" s="32">
        <v>30</v>
      </c>
      <c r="D175" s="33" t="s">
        <v>647</v>
      </c>
      <c r="E175">
        <v>3</v>
      </c>
      <c r="F175" s="34">
        <f t="shared" si="87"/>
        <v>1.5</v>
      </c>
      <c r="G175" s="35">
        <v>1.65</v>
      </c>
      <c r="H175">
        <v>1.5</v>
      </c>
      <c r="I175" t="s">
        <v>664</v>
      </c>
    </row>
    <row r="176" spans="3:8" ht="12.75">
      <c r="C176" s="32">
        <v>31</v>
      </c>
      <c r="D176" s="33" t="s">
        <v>642</v>
      </c>
      <c r="E176">
        <v>3</v>
      </c>
      <c r="F176" s="34">
        <f t="shared" si="87"/>
        <v>1.5</v>
      </c>
      <c r="G176" s="35">
        <v>1.81</v>
      </c>
      <c r="H176">
        <v>1.5</v>
      </c>
    </row>
    <row r="177" spans="3:8" ht="12.75">
      <c r="C177" s="32">
        <v>32</v>
      </c>
      <c r="D177" s="33" t="s">
        <v>586</v>
      </c>
      <c r="E177">
        <v>4</v>
      </c>
      <c r="F177" s="34">
        <f t="shared" si="87"/>
        <v>1.8</v>
      </c>
      <c r="G177" s="35">
        <v>2.01</v>
      </c>
      <c r="H177">
        <v>1.8</v>
      </c>
    </row>
    <row r="178" spans="3:8" ht="12.75">
      <c r="C178" s="32">
        <v>33</v>
      </c>
      <c r="D178" s="33" t="s">
        <v>593</v>
      </c>
      <c r="E178">
        <v>4</v>
      </c>
      <c r="F178" s="34">
        <f aca="true" t="shared" si="88" ref="F178:F209">HLOOKUP($F$145,$G$145:$H$247,ROW()-ROW($G$144),FALSE)</f>
        <v>2</v>
      </c>
      <c r="G178" s="35">
        <v>2.18</v>
      </c>
      <c r="H178" s="34">
        <v>2</v>
      </c>
    </row>
    <row r="179" spans="3:8" ht="12.75">
      <c r="C179" s="32">
        <v>34</v>
      </c>
      <c r="D179" s="33" t="s">
        <v>592</v>
      </c>
      <c r="E179">
        <v>4</v>
      </c>
      <c r="F179" s="34">
        <f t="shared" si="88"/>
        <v>2.4</v>
      </c>
      <c r="G179" s="35">
        <v>2.55</v>
      </c>
      <c r="H179">
        <v>2.4</v>
      </c>
    </row>
    <row r="180" spans="3:8" ht="12.75">
      <c r="C180" s="32">
        <v>35</v>
      </c>
      <c r="D180" s="33" t="s">
        <v>580</v>
      </c>
      <c r="E180">
        <v>4</v>
      </c>
      <c r="F180" s="34">
        <f t="shared" si="88"/>
        <v>2.8</v>
      </c>
      <c r="G180" s="35">
        <v>2.96</v>
      </c>
      <c r="H180">
        <v>2.8</v>
      </c>
    </row>
    <row r="181" spans="3:7" ht="12.75">
      <c r="C181" s="32">
        <v>36</v>
      </c>
      <c r="D181" s="33" t="s">
        <v>665</v>
      </c>
      <c r="E181">
        <v>4</v>
      </c>
      <c r="F181" s="34">
        <f t="shared" si="88"/>
        <v>0</v>
      </c>
      <c r="G181" s="35">
        <v>3</v>
      </c>
    </row>
    <row r="182" spans="3:8" ht="12.75">
      <c r="C182" s="32">
        <v>37</v>
      </c>
      <c r="D182" s="33" t="s">
        <v>588</v>
      </c>
      <c r="E182">
        <v>4</v>
      </c>
      <c r="F182" s="34">
        <f t="shared" si="88"/>
        <v>0.8</v>
      </c>
      <c r="G182" s="35">
        <v>0.82</v>
      </c>
      <c r="H182">
        <v>0.8</v>
      </c>
    </row>
    <row r="183" spans="3:8" ht="12.75">
      <c r="C183" s="32">
        <v>38</v>
      </c>
      <c r="D183" s="33" t="s">
        <v>624</v>
      </c>
      <c r="E183">
        <v>4</v>
      </c>
      <c r="F183" s="34">
        <f t="shared" si="88"/>
        <v>1</v>
      </c>
      <c r="G183" s="35">
        <v>0.95</v>
      </c>
      <c r="H183" s="34">
        <v>1</v>
      </c>
    </row>
    <row r="184" spans="3:8" ht="12.75">
      <c r="C184" s="32">
        <v>39</v>
      </c>
      <c r="D184" s="33" t="s">
        <v>623</v>
      </c>
      <c r="E184">
        <v>4</v>
      </c>
      <c r="F184" s="34">
        <f t="shared" si="88"/>
        <v>1.2</v>
      </c>
      <c r="G184" s="35">
        <v>1.22</v>
      </c>
      <c r="H184">
        <v>1.2</v>
      </c>
    </row>
    <row r="185" spans="3:8" ht="12.75">
      <c r="C185" s="32">
        <v>40</v>
      </c>
      <c r="D185" s="33" t="s">
        <v>611</v>
      </c>
      <c r="E185">
        <v>4</v>
      </c>
      <c r="F185" s="34">
        <f t="shared" si="88"/>
        <v>1.5</v>
      </c>
      <c r="G185" s="35">
        <v>1.33</v>
      </c>
      <c r="H185">
        <v>1.5</v>
      </c>
    </row>
    <row r="186" spans="3:8" ht="12.75">
      <c r="C186" s="32">
        <v>41</v>
      </c>
      <c r="D186" s="33" t="s">
        <v>613</v>
      </c>
      <c r="E186">
        <v>4</v>
      </c>
      <c r="F186" s="34">
        <f t="shared" si="88"/>
        <v>1.7</v>
      </c>
      <c r="G186" s="34">
        <v>1.6</v>
      </c>
      <c r="H186">
        <v>1.7</v>
      </c>
    </row>
    <row r="187" spans="3:9" ht="12.75">
      <c r="C187" s="32">
        <v>42</v>
      </c>
      <c r="D187" s="33" t="s">
        <v>666</v>
      </c>
      <c r="E187">
        <v>4</v>
      </c>
      <c r="F187" s="34">
        <f t="shared" si="88"/>
        <v>1.6</v>
      </c>
      <c r="G187" s="34">
        <v>2.2</v>
      </c>
      <c r="H187">
        <v>1.6</v>
      </c>
      <c r="I187" t="s">
        <v>667</v>
      </c>
    </row>
    <row r="188" spans="3:9" ht="12.75">
      <c r="C188" s="32">
        <v>43</v>
      </c>
      <c r="D188" s="33" t="s">
        <v>668</v>
      </c>
      <c r="E188">
        <v>4</v>
      </c>
      <c r="F188" s="34">
        <f t="shared" si="88"/>
        <v>1.9</v>
      </c>
      <c r="G188" s="34">
        <v>1.9</v>
      </c>
      <c r="H188">
        <v>1.9</v>
      </c>
      <c r="I188" t="s">
        <v>669</v>
      </c>
    </row>
    <row r="189" spans="3:8" ht="12.75">
      <c r="C189" s="32">
        <v>44</v>
      </c>
      <c r="D189" s="33" t="s">
        <v>670</v>
      </c>
      <c r="E189">
        <v>4</v>
      </c>
      <c r="F189" s="34">
        <f t="shared" si="88"/>
        <v>2</v>
      </c>
      <c r="G189" s="34">
        <v>2.2</v>
      </c>
      <c r="H189" s="34">
        <v>2</v>
      </c>
    </row>
    <row r="190" spans="3:8" ht="12.75">
      <c r="C190" s="32">
        <v>45</v>
      </c>
      <c r="D190" s="33" t="s">
        <v>671</v>
      </c>
      <c r="E190">
        <v>4</v>
      </c>
      <c r="F190" s="34">
        <f t="shared" si="88"/>
        <v>2.1</v>
      </c>
      <c r="G190" s="35">
        <v>2.28</v>
      </c>
      <c r="H190">
        <v>2.1</v>
      </c>
    </row>
    <row r="191" spans="3:8" ht="12.75">
      <c r="C191" s="32">
        <v>46</v>
      </c>
      <c r="D191" s="33" t="s">
        <v>643</v>
      </c>
      <c r="E191">
        <v>4</v>
      </c>
      <c r="F191" s="34">
        <f t="shared" si="88"/>
        <v>2</v>
      </c>
      <c r="G191" s="35">
        <v>2.2</v>
      </c>
      <c r="H191" s="34">
        <v>2</v>
      </c>
    </row>
    <row r="192" spans="3:8" ht="12.75">
      <c r="C192" s="32">
        <v>47</v>
      </c>
      <c r="D192" s="33" t="s">
        <v>615</v>
      </c>
      <c r="E192">
        <v>4</v>
      </c>
      <c r="F192" s="34">
        <f t="shared" si="88"/>
        <v>1.8</v>
      </c>
      <c r="G192" s="35">
        <v>1.93</v>
      </c>
      <c r="H192">
        <v>1.8</v>
      </c>
    </row>
    <row r="193" spans="3:9" ht="12.75">
      <c r="C193" s="32">
        <v>48</v>
      </c>
      <c r="D193" s="33" t="s">
        <v>631</v>
      </c>
      <c r="E193">
        <v>4</v>
      </c>
      <c r="F193" s="34">
        <f t="shared" si="88"/>
        <v>1.5</v>
      </c>
      <c r="G193" s="35">
        <v>1.69</v>
      </c>
      <c r="H193">
        <v>1.5</v>
      </c>
      <c r="I193" t="s">
        <v>672</v>
      </c>
    </row>
    <row r="194" spans="3:8" ht="12.75">
      <c r="C194" s="32">
        <v>49</v>
      </c>
      <c r="D194" s="33" t="s">
        <v>632</v>
      </c>
      <c r="E194">
        <v>4</v>
      </c>
      <c r="F194" s="34">
        <f t="shared" si="88"/>
        <v>1.5</v>
      </c>
      <c r="G194" s="35">
        <v>1.78</v>
      </c>
      <c r="H194">
        <v>1.5</v>
      </c>
    </row>
    <row r="195" spans="3:9" ht="12.75">
      <c r="C195" s="32">
        <v>50</v>
      </c>
      <c r="D195" s="33" t="s">
        <v>590</v>
      </c>
      <c r="E195">
        <v>5</v>
      </c>
      <c r="F195" s="34">
        <f t="shared" si="88"/>
        <v>1.7</v>
      </c>
      <c r="G195" s="35">
        <v>1.88</v>
      </c>
      <c r="H195">
        <v>1.7</v>
      </c>
      <c r="I195" t="s">
        <v>673</v>
      </c>
    </row>
    <row r="196" spans="3:9" ht="12.75">
      <c r="C196" s="32">
        <v>51</v>
      </c>
      <c r="D196" s="33" t="s">
        <v>600</v>
      </c>
      <c r="E196">
        <v>5</v>
      </c>
      <c r="F196" s="34">
        <f t="shared" si="88"/>
        <v>1.8</v>
      </c>
      <c r="G196" s="35">
        <v>2.05</v>
      </c>
      <c r="H196">
        <v>1.8</v>
      </c>
      <c r="I196" t="s">
        <v>674</v>
      </c>
    </row>
    <row r="197" spans="3:8" ht="12.75">
      <c r="C197" s="32">
        <v>52</v>
      </c>
      <c r="D197" s="33" t="s">
        <v>595</v>
      </c>
      <c r="E197">
        <v>5</v>
      </c>
      <c r="F197" s="34">
        <f t="shared" si="88"/>
        <v>2.1</v>
      </c>
      <c r="G197" s="34">
        <v>2.1</v>
      </c>
      <c r="H197">
        <v>2.1</v>
      </c>
    </row>
    <row r="198" spans="3:8" ht="12.75">
      <c r="C198" s="32">
        <v>53</v>
      </c>
      <c r="D198" s="33" t="s">
        <v>584</v>
      </c>
      <c r="E198">
        <v>5</v>
      </c>
      <c r="F198" s="34">
        <f t="shared" si="88"/>
        <v>2.55</v>
      </c>
      <c r="G198" s="35">
        <v>2.66</v>
      </c>
      <c r="H198">
        <v>2.55</v>
      </c>
    </row>
    <row r="199" spans="3:7" ht="12.75">
      <c r="C199" s="32">
        <v>54</v>
      </c>
      <c r="D199" s="33" t="s">
        <v>675</v>
      </c>
      <c r="E199">
        <v>5</v>
      </c>
      <c r="F199" s="34">
        <f t="shared" si="88"/>
        <v>0</v>
      </c>
      <c r="G199" s="35">
        <v>2.6</v>
      </c>
    </row>
    <row r="200" spans="3:8" ht="12.75">
      <c r="C200" s="32">
        <v>55</v>
      </c>
      <c r="D200" s="33" t="s">
        <v>577</v>
      </c>
      <c r="E200">
        <v>5</v>
      </c>
      <c r="F200" s="34">
        <f t="shared" si="88"/>
        <v>0.75</v>
      </c>
      <c r="G200" s="35">
        <v>0.79</v>
      </c>
      <c r="H200">
        <v>0.75</v>
      </c>
    </row>
    <row r="201" spans="3:8" ht="12.75">
      <c r="C201" s="32">
        <v>56</v>
      </c>
      <c r="D201" s="33" t="s">
        <v>627</v>
      </c>
      <c r="E201">
        <v>5</v>
      </c>
      <c r="F201" s="34">
        <f t="shared" si="88"/>
        <v>0.9</v>
      </c>
      <c r="G201" s="35">
        <v>0.89</v>
      </c>
      <c r="H201">
        <v>0.9</v>
      </c>
    </row>
    <row r="202" spans="3:8" ht="12.75">
      <c r="C202" s="32">
        <v>57</v>
      </c>
      <c r="D202" s="33" t="s">
        <v>676</v>
      </c>
      <c r="E202">
        <v>5</v>
      </c>
      <c r="F202" s="34">
        <f t="shared" si="88"/>
        <v>1.1</v>
      </c>
      <c r="G202" s="35">
        <v>1.1</v>
      </c>
      <c r="H202">
        <v>1.1</v>
      </c>
    </row>
    <row r="203" spans="3:8" ht="12.75">
      <c r="C203" s="32">
        <v>58</v>
      </c>
      <c r="D203" s="33" t="s">
        <v>634</v>
      </c>
      <c r="E203">
        <v>5</v>
      </c>
      <c r="F203" s="34">
        <f t="shared" si="88"/>
        <v>1.1</v>
      </c>
      <c r="G203" s="35">
        <v>1.12</v>
      </c>
      <c r="H203">
        <v>1.1</v>
      </c>
    </row>
    <row r="204" spans="3:8" ht="12.75">
      <c r="C204" s="32">
        <v>59</v>
      </c>
      <c r="D204" s="33" t="s">
        <v>677</v>
      </c>
      <c r="E204">
        <v>5</v>
      </c>
      <c r="F204" s="34">
        <f t="shared" si="88"/>
        <v>1.1</v>
      </c>
      <c r="G204" s="35">
        <v>1.13</v>
      </c>
      <c r="H204">
        <v>1.1</v>
      </c>
    </row>
    <row r="205" spans="3:8" ht="12.75">
      <c r="C205" s="32">
        <v>60</v>
      </c>
      <c r="D205" s="33" t="s">
        <v>678</v>
      </c>
      <c r="E205">
        <v>5</v>
      </c>
      <c r="F205" s="34">
        <f t="shared" si="88"/>
        <v>1.2</v>
      </c>
      <c r="G205" s="35">
        <v>1.14</v>
      </c>
      <c r="H205">
        <v>1.2</v>
      </c>
    </row>
    <row r="206" spans="3:8" ht="12.75">
      <c r="C206" s="32">
        <v>61</v>
      </c>
      <c r="D206" s="33" t="s">
        <v>679</v>
      </c>
      <c r="E206">
        <v>5</v>
      </c>
      <c r="F206" s="34">
        <f t="shared" si="88"/>
        <v>1.2</v>
      </c>
      <c r="G206" s="35"/>
      <c r="H206">
        <v>1.2</v>
      </c>
    </row>
    <row r="207" spans="3:8" ht="12.75">
      <c r="C207" s="32">
        <v>62</v>
      </c>
      <c r="D207" s="33" t="s">
        <v>635</v>
      </c>
      <c r="E207">
        <v>5</v>
      </c>
      <c r="F207" s="34">
        <f t="shared" si="88"/>
        <v>1.2</v>
      </c>
      <c r="G207" s="35">
        <v>1.17</v>
      </c>
      <c r="H207">
        <v>1.2</v>
      </c>
    </row>
    <row r="208" spans="3:8" ht="12.75">
      <c r="C208" s="32">
        <v>63</v>
      </c>
      <c r="D208" s="33" t="s">
        <v>619</v>
      </c>
      <c r="E208">
        <v>5</v>
      </c>
      <c r="F208" s="34">
        <f t="shared" si="88"/>
        <v>1.1</v>
      </c>
      <c r="G208" s="35"/>
      <c r="H208">
        <v>1.1</v>
      </c>
    </row>
    <row r="209" spans="3:8" ht="12.75">
      <c r="C209" s="32">
        <v>64</v>
      </c>
      <c r="D209" s="33" t="s">
        <v>680</v>
      </c>
      <c r="E209">
        <v>5</v>
      </c>
      <c r="F209" s="34">
        <f t="shared" si="88"/>
        <v>1.2</v>
      </c>
      <c r="G209" s="35">
        <v>1.2</v>
      </c>
      <c r="H209">
        <v>1.2</v>
      </c>
    </row>
    <row r="210" spans="3:8" ht="12.75">
      <c r="C210" s="32">
        <v>65</v>
      </c>
      <c r="D210" s="33" t="s">
        <v>681</v>
      </c>
      <c r="E210">
        <v>5</v>
      </c>
      <c r="F210" s="34">
        <f aca="true" t="shared" si="89" ref="F210:F241">HLOOKUP($F$145,$G$145:$H$247,ROW()-ROW($G$144),FALSE)</f>
        <v>1.2</v>
      </c>
      <c r="G210" s="35"/>
      <c r="H210">
        <v>1.2</v>
      </c>
    </row>
    <row r="211" spans="3:8" ht="12.75">
      <c r="C211" s="32">
        <v>66</v>
      </c>
      <c r="D211" s="33" t="s">
        <v>682</v>
      </c>
      <c r="E211">
        <v>5</v>
      </c>
      <c r="F211" s="34">
        <f t="shared" si="89"/>
        <v>1.2</v>
      </c>
      <c r="G211" s="35">
        <v>1.22</v>
      </c>
      <c r="H211">
        <v>1.2</v>
      </c>
    </row>
    <row r="212" spans="3:8" ht="12.75">
      <c r="C212" s="32">
        <v>67</v>
      </c>
      <c r="D212" s="33" t="s">
        <v>683</v>
      </c>
      <c r="E212">
        <v>5</v>
      </c>
      <c r="F212" s="34">
        <f t="shared" si="89"/>
        <v>1.2</v>
      </c>
      <c r="G212" s="35">
        <v>1.23</v>
      </c>
      <c r="H212">
        <v>1.2</v>
      </c>
    </row>
    <row r="213" spans="3:8" ht="12.75">
      <c r="C213" s="32">
        <v>68</v>
      </c>
      <c r="D213" s="33" t="s">
        <v>684</v>
      </c>
      <c r="E213">
        <v>5</v>
      </c>
      <c r="F213" s="34">
        <f t="shared" si="89"/>
        <v>1.2</v>
      </c>
      <c r="G213" s="35">
        <v>1.24</v>
      </c>
      <c r="H213">
        <v>1.2</v>
      </c>
    </row>
    <row r="214" spans="3:8" ht="12.75">
      <c r="C214" s="32">
        <v>69</v>
      </c>
      <c r="D214" s="33" t="s">
        <v>685</v>
      </c>
      <c r="E214">
        <v>5</v>
      </c>
      <c r="F214" s="34">
        <f t="shared" si="89"/>
        <v>1.2</v>
      </c>
      <c r="G214" s="35">
        <v>1.25</v>
      </c>
      <c r="H214">
        <v>1.2</v>
      </c>
    </row>
    <row r="215" spans="3:8" ht="12.75">
      <c r="C215" s="32">
        <v>70</v>
      </c>
      <c r="D215" s="33" t="s">
        <v>686</v>
      </c>
      <c r="E215">
        <v>5</v>
      </c>
      <c r="F215" s="34">
        <f t="shared" si="89"/>
        <v>1.1</v>
      </c>
      <c r="G215" s="35"/>
      <c r="H215">
        <v>1.1</v>
      </c>
    </row>
    <row r="216" spans="3:8" ht="12.75">
      <c r="C216" s="32">
        <v>71</v>
      </c>
      <c r="D216" s="33" t="s">
        <v>687</v>
      </c>
      <c r="E216">
        <v>5</v>
      </c>
      <c r="F216" s="34">
        <f t="shared" si="89"/>
        <v>1.2</v>
      </c>
      <c r="G216" s="35">
        <v>1.27</v>
      </c>
      <c r="H216">
        <v>1.2</v>
      </c>
    </row>
    <row r="217" spans="3:8" ht="12.75">
      <c r="C217" s="32">
        <v>72</v>
      </c>
      <c r="D217" s="33" t="s">
        <v>612</v>
      </c>
      <c r="E217">
        <v>5</v>
      </c>
      <c r="F217" s="34">
        <f t="shared" si="89"/>
        <v>1.4</v>
      </c>
      <c r="G217" s="34">
        <v>1.3</v>
      </c>
      <c r="H217">
        <v>1.4</v>
      </c>
    </row>
    <row r="218" spans="3:9" ht="12.75">
      <c r="C218" s="32">
        <v>73</v>
      </c>
      <c r="D218" s="33" t="s">
        <v>614</v>
      </c>
      <c r="E218">
        <v>5</v>
      </c>
      <c r="F218" s="34">
        <f t="shared" si="89"/>
        <v>1.3</v>
      </c>
      <c r="G218" s="34">
        <v>1.5</v>
      </c>
      <c r="H218">
        <v>1.3</v>
      </c>
      <c r="I218" t="s">
        <v>688</v>
      </c>
    </row>
    <row r="219" spans="3:9" ht="12.75">
      <c r="C219" s="32">
        <v>74</v>
      </c>
      <c r="D219" s="33" t="s">
        <v>689</v>
      </c>
      <c r="E219">
        <v>5</v>
      </c>
      <c r="F219" s="34">
        <f t="shared" si="89"/>
        <v>1.6</v>
      </c>
      <c r="G219" s="35">
        <v>2.36</v>
      </c>
      <c r="H219">
        <v>1.6</v>
      </c>
      <c r="I219" t="s">
        <v>690</v>
      </c>
    </row>
    <row r="220" spans="3:9" ht="12.75">
      <c r="C220" s="32">
        <v>75</v>
      </c>
      <c r="D220" s="33" t="s">
        <v>691</v>
      </c>
      <c r="E220">
        <v>5</v>
      </c>
      <c r="F220" s="34">
        <f t="shared" si="89"/>
        <v>1.8</v>
      </c>
      <c r="G220" s="34">
        <v>1.9</v>
      </c>
      <c r="H220" s="34">
        <v>1.8</v>
      </c>
      <c r="I220" t="s">
        <v>692</v>
      </c>
    </row>
    <row r="221" spans="3:8" ht="12.75">
      <c r="C221" s="32">
        <v>76</v>
      </c>
      <c r="D221" s="33" t="s">
        <v>693</v>
      </c>
      <c r="E221">
        <v>5</v>
      </c>
      <c r="F221" s="34">
        <f t="shared" si="89"/>
        <v>2</v>
      </c>
      <c r="G221" s="34">
        <v>2.2</v>
      </c>
      <c r="H221" s="34">
        <v>2</v>
      </c>
    </row>
    <row r="222" spans="3:8" ht="12.75">
      <c r="C222" s="32">
        <v>77</v>
      </c>
      <c r="D222" s="33" t="s">
        <v>694</v>
      </c>
      <c r="E222">
        <v>5</v>
      </c>
      <c r="F222" s="34">
        <f t="shared" si="89"/>
        <v>2.1</v>
      </c>
      <c r="G222" s="35">
        <v>2.2</v>
      </c>
      <c r="H222">
        <v>2.1</v>
      </c>
    </row>
    <row r="223" spans="3:8" ht="12.75">
      <c r="C223" s="32">
        <v>78</v>
      </c>
      <c r="D223" s="33" t="s">
        <v>644</v>
      </c>
      <c r="E223">
        <v>5</v>
      </c>
      <c r="F223" s="34">
        <f t="shared" si="89"/>
        <v>2.1</v>
      </c>
      <c r="G223" s="35">
        <v>2.28</v>
      </c>
      <c r="H223" s="34">
        <v>2.1</v>
      </c>
    </row>
    <row r="224" spans="3:8" ht="12.75">
      <c r="C224" s="32">
        <v>79</v>
      </c>
      <c r="D224" s="33" t="s">
        <v>695</v>
      </c>
      <c r="E224">
        <v>5</v>
      </c>
      <c r="F224" s="34">
        <f t="shared" si="89"/>
        <v>2.3</v>
      </c>
      <c r="G224" s="35">
        <v>2.54</v>
      </c>
      <c r="H224">
        <v>2.3</v>
      </c>
    </row>
    <row r="225" spans="3:9" ht="12.75">
      <c r="C225" s="32">
        <v>80</v>
      </c>
      <c r="D225" s="33" t="s">
        <v>636</v>
      </c>
      <c r="E225">
        <v>5</v>
      </c>
      <c r="F225" s="34">
        <f t="shared" si="89"/>
        <v>1.8</v>
      </c>
      <c r="G225" s="35">
        <v>2</v>
      </c>
      <c r="H225">
        <v>1.8</v>
      </c>
      <c r="I225" t="s">
        <v>696</v>
      </c>
    </row>
    <row r="226" spans="3:9" ht="12.75">
      <c r="C226" s="32">
        <v>81</v>
      </c>
      <c r="D226" s="33" t="s">
        <v>591</v>
      </c>
      <c r="E226">
        <v>6</v>
      </c>
      <c r="F226" s="34">
        <f t="shared" si="89"/>
        <v>1.5</v>
      </c>
      <c r="G226" s="34">
        <v>1.8</v>
      </c>
      <c r="H226">
        <v>1.5</v>
      </c>
      <c r="I226" t="s">
        <v>697</v>
      </c>
    </row>
    <row r="227" spans="3:9" ht="12.75">
      <c r="C227" s="32">
        <v>82</v>
      </c>
      <c r="D227" s="33" t="s">
        <v>598</v>
      </c>
      <c r="E227">
        <v>6</v>
      </c>
      <c r="F227" s="34">
        <f t="shared" si="89"/>
        <v>1.6</v>
      </c>
      <c r="G227" s="35">
        <v>2.1</v>
      </c>
      <c r="H227">
        <v>1.6</v>
      </c>
      <c r="I227" t="s">
        <v>698</v>
      </c>
    </row>
    <row r="228" spans="3:8" ht="12.75">
      <c r="C228" s="32">
        <v>83</v>
      </c>
      <c r="D228" s="33" t="s">
        <v>639</v>
      </c>
      <c r="E228">
        <v>6</v>
      </c>
      <c r="F228" s="34">
        <f t="shared" si="89"/>
        <v>1.8</v>
      </c>
      <c r="G228" s="35">
        <v>2.02</v>
      </c>
      <c r="H228">
        <v>1.8</v>
      </c>
    </row>
    <row r="229" spans="3:10" ht="12.75">
      <c r="C229" s="32">
        <v>84</v>
      </c>
      <c r="D229" s="33" t="s">
        <v>699</v>
      </c>
      <c r="E229">
        <v>6</v>
      </c>
      <c r="F229" s="34">
        <f t="shared" si="89"/>
        <v>2</v>
      </c>
      <c r="G229" s="34">
        <v>2</v>
      </c>
      <c r="H229" s="34">
        <v>2</v>
      </c>
      <c r="J229" s="34"/>
    </row>
    <row r="230" spans="3:8" ht="12.75">
      <c r="C230" s="32">
        <v>85</v>
      </c>
      <c r="D230" s="33" t="s">
        <v>700</v>
      </c>
      <c r="E230">
        <v>6</v>
      </c>
      <c r="F230" s="34">
        <f t="shared" si="89"/>
        <v>2.2</v>
      </c>
      <c r="G230" s="34">
        <v>2.2</v>
      </c>
      <c r="H230">
        <v>2.2</v>
      </c>
    </row>
    <row r="231" spans="3:7" ht="12.75">
      <c r="C231" s="32">
        <v>86</v>
      </c>
      <c r="D231" s="33" t="s">
        <v>701</v>
      </c>
      <c r="E231">
        <v>6</v>
      </c>
      <c r="F231" s="34">
        <f t="shared" si="89"/>
        <v>0</v>
      </c>
      <c r="G231" s="35"/>
    </row>
    <row r="232" spans="3:8" ht="12.75">
      <c r="C232" s="32">
        <v>87</v>
      </c>
      <c r="D232" s="33" t="s">
        <v>702</v>
      </c>
      <c r="E232">
        <v>6</v>
      </c>
      <c r="F232" s="34">
        <f t="shared" si="89"/>
        <v>0.7</v>
      </c>
      <c r="G232" s="34">
        <v>0.7</v>
      </c>
      <c r="H232">
        <v>0.7</v>
      </c>
    </row>
    <row r="233" spans="3:8" ht="12.75">
      <c r="C233" s="32">
        <v>88</v>
      </c>
      <c r="D233" s="33" t="s">
        <v>703</v>
      </c>
      <c r="E233">
        <v>6</v>
      </c>
      <c r="F233" s="34">
        <f t="shared" si="89"/>
        <v>0.9</v>
      </c>
      <c r="G233" s="34">
        <v>0.9</v>
      </c>
      <c r="H233" s="34">
        <v>0.9</v>
      </c>
    </row>
    <row r="234" spans="3:8" ht="12.75">
      <c r="C234" s="32">
        <v>89</v>
      </c>
      <c r="D234" s="33" t="s">
        <v>704</v>
      </c>
      <c r="E234">
        <v>6</v>
      </c>
      <c r="F234" s="34">
        <f t="shared" si="89"/>
        <v>1.1</v>
      </c>
      <c r="G234" s="34">
        <v>1.1</v>
      </c>
      <c r="H234">
        <v>1.1</v>
      </c>
    </row>
    <row r="235" spans="3:9" ht="12.75">
      <c r="C235" s="32">
        <v>90</v>
      </c>
      <c r="D235" s="33" t="s">
        <v>628</v>
      </c>
      <c r="E235">
        <v>6</v>
      </c>
      <c r="F235" s="34">
        <f t="shared" si="89"/>
        <v>1</v>
      </c>
      <c r="G235" s="34">
        <v>1.3</v>
      </c>
      <c r="H235" s="34">
        <v>1</v>
      </c>
      <c r="I235" t="s">
        <v>705</v>
      </c>
    </row>
    <row r="236" spans="3:9" ht="12.75">
      <c r="C236" s="32">
        <v>91</v>
      </c>
      <c r="D236" s="33" t="s">
        <v>617</v>
      </c>
      <c r="E236">
        <v>6</v>
      </c>
      <c r="F236" s="34">
        <f t="shared" si="89"/>
        <v>1.3</v>
      </c>
      <c r="G236" s="34">
        <v>1.5</v>
      </c>
      <c r="H236">
        <v>1.3</v>
      </c>
      <c r="I236" t="s">
        <v>706</v>
      </c>
    </row>
    <row r="237" spans="3:9" ht="12.75">
      <c r="C237" s="32">
        <v>92</v>
      </c>
      <c r="D237" s="33" t="s">
        <v>629</v>
      </c>
      <c r="E237">
        <v>6</v>
      </c>
      <c r="F237" s="34">
        <f t="shared" si="89"/>
        <v>1.4</v>
      </c>
      <c r="G237" s="35">
        <v>1.38</v>
      </c>
      <c r="H237">
        <v>1.4</v>
      </c>
      <c r="I237" t="s">
        <v>707</v>
      </c>
    </row>
    <row r="238" spans="3:8" ht="12.75">
      <c r="C238" s="32">
        <v>93</v>
      </c>
      <c r="D238" s="33" t="s">
        <v>625</v>
      </c>
      <c r="E238">
        <v>6</v>
      </c>
      <c r="F238" s="34">
        <f t="shared" si="89"/>
        <v>1.1</v>
      </c>
      <c r="G238" s="35">
        <v>1.36</v>
      </c>
      <c r="H238">
        <v>1.1</v>
      </c>
    </row>
    <row r="239" spans="3:8" ht="12.75">
      <c r="C239" s="32">
        <v>94</v>
      </c>
      <c r="D239" s="33" t="s">
        <v>626</v>
      </c>
      <c r="E239">
        <v>6</v>
      </c>
      <c r="F239" s="34">
        <f t="shared" si="89"/>
        <v>1.3</v>
      </c>
      <c r="G239" s="35">
        <v>1.28</v>
      </c>
      <c r="H239">
        <v>1.3</v>
      </c>
    </row>
    <row r="240" spans="3:8" ht="12.75">
      <c r="C240" s="32">
        <v>95</v>
      </c>
      <c r="D240" s="33" t="s">
        <v>620</v>
      </c>
      <c r="E240">
        <v>6</v>
      </c>
      <c r="F240" s="34">
        <f t="shared" si="89"/>
        <v>1.3</v>
      </c>
      <c r="G240" s="34">
        <v>1.3</v>
      </c>
      <c r="H240">
        <v>1.3</v>
      </c>
    </row>
    <row r="241" spans="3:8" ht="12.75">
      <c r="C241" s="32">
        <v>96</v>
      </c>
      <c r="D241" s="33" t="s">
        <v>708</v>
      </c>
      <c r="E241">
        <v>6</v>
      </c>
      <c r="F241" s="34">
        <f t="shared" si="89"/>
        <v>1.3</v>
      </c>
      <c r="G241" s="34">
        <v>1.3</v>
      </c>
      <c r="H241">
        <v>1.3</v>
      </c>
    </row>
    <row r="242" spans="3:8" ht="12.75">
      <c r="C242" s="32">
        <v>97</v>
      </c>
      <c r="D242" s="33" t="s">
        <v>709</v>
      </c>
      <c r="E242">
        <v>6</v>
      </c>
      <c r="F242" s="34">
        <f aca="true" t="shared" si="90" ref="F242:F247">HLOOKUP($F$145,$G$145:$H$247,ROW()-ROW($G$144),FALSE)</f>
        <v>1.3</v>
      </c>
      <c r="G242" s="34">
        <v>1.3</v>
      </c>
      <c r="H242">
        <v>1.3</v>
      </c>
    </row>
    <row r="243" spans="3:8" ht="12.75">
      <c r="C243" s="32">
        <v>98</v>
      </c>
      <c r="D243" s="33" t="s">
        <v>710</v>
      </c>
      <c r="E243">
        <v>6</v>
      </c>
      <c r="F243" s="34">
        <f t="shared" si="90"/>
        <v>1.3</v>
      </c>
      <c r="G243" s="34">
        <v>1.3</v>
      </c>
      <c r="H243">
        <v>1.3</v>
      </c>
    </row>
    <row r="244" spans="3:7" ht="12.75">
      <c r="C244" s="32">
        <v>99</v>
      </c>
      <c r="D244" s="33" t="s">
        <v>711</v>
      </c>
      <c r="E244">
        <v>6</v>
      </c>
      <c r="F244" s="34">
        <f t="shared" si="90"/>
        <v>0</v>
      </c>
      <c r="G244" s="34">
        <v>1.3</v>
      </c>
    </row>
    <row r="245" spans="3:7" ht="12.75">
      <c r="C245" s="32">
        <v>100</v>
      </c>
      <c r="D245" s="33" t="s">
        <v>712</v>
      </c>
      <c r="E245">
        <v>6</v>
      </c>
      <c r="F245" s="34">
        <f t="shared" si="90"/>
        <v>0</v>
      </c>
      <c r="G245" s="34">
        <v>1.3</v>
      </c>
    </row>
    <row r="246" spans="3:7" ht="12.75">
      <c r="C246" s="32">
        <v>101</v>
      </c>
      <c r="D246" s="33" t="s">
        <v>713</v>
      </c>
      <c r="E246">
        <v>6</v>
      </c>
      <c r="F246" s="34">
        <f t="shared" si="90"/>
        <v>0</v>
      </c>
      <c r="G246" s="34">
        <v>1.3</v>
      </c>
    </row>
    <row r="247" spans="3:7" ht="12.75">
      <c r="C247" s="32">
        <v>102</v>
      </c>
      <c r="D247" s="33" t="s">
        <v>714</v>
      </c>
      <c r="E247">
        <v>6</v>
      </c>
      <c r="F247" s="34">
        <f t="shared" si="90"/>
        <v>0</v>
      </c>
      <c r="G247" s="34">
        <v>1.3</v>
      </c>
    </row>
  </sheetData>
  <sheetProtection/>
  <mergeCells count="15">
    <mergeCell ref="AC63:AD63"/>
    <mergeCell ref="E3:F3"/>
    <mergeCell ref="G2:H2"/>
    <mergeCell ref="E46:F46"/>
    <mergeCell ref="AA29:AL32"/>
    <mergeCell ref="Q47:R47"/>
    <mergeCell ref="AC48:AD48"/>
    <mergeCell ref="F144:H144"/>
    <mergeCell ref="N29:X32"/>
    <mergeCell ref="E56:F56"/>
    <mergeCell ref="B35:L38"/>
    <mergeCell ref="B39:L42"/>
    <mergeCell ref="B29:L32"/>
    <mergeCell ref="E100:F100"/>
    <mergeCell ref="E126:F126"/>
  </mergeCells>
  <dataValidations count="1">
    <dataValidation type="list" allowBlank="1" showInputMessage="1" showErrorMessage="1" sqref="F145">
      <formula1>$G$145:$H$145</formula1>
    </dataValidation>
  </dataValidations>
  <printOptions/>
  <pageMargins left="0.75" right="0.75" top="1" bottom="1" header="0.5" footer="0.5"/>
  <pageSetup horizontalDpi="300" verticalDpi="300" orientation="landscape" r:id="rId4"/>
  <colBreaks count="1" manualBreakCount="1">
    <brk id="26" min="4" max="31" man="1"/>
  </colBreaks>
  <drawing r:id="rId3"/>
  <legacyDrawing r:id="rId2"/>
</worksheet>
</file>

<file path=xl/worksheets/sheet3.xml><?xml version="1.0" encoding="utf-8"?>
<worksheet xmlns="http://schemas.openxmlformats.org/spreadsheetml/2006/main" xmlns:r="http://schemas.openxmlformats.org/officeDocument/2006/relationships">
  <sheetPr codeName="Sheet7">
    <pageSetUpPr fitToPage="1"/>
  </sheetPr>
  <dimension ref="A1:L289"/>
  <sheetViews>
    <sheetView zoomScalePageLayoutView="0" workbookViewId="0" topLeftCell="A1">
      <selection activeCell="B5" sqref="B5:C5"/>
    </sheetView>
  </sheetViews>
  <sheetFormatPr defaultColWidth="9.140625" defaultRowHeight="12.75"/>
  <cols>
    <col min="1" max="1" width="18.8515625" style="48" customWidth="1"/>
    <col min="2" max="2" width="9.8515625" style="48" bestFit="1" customWidth="1"/>
    <col min="3" max="3" width="10.28125" style="48" customWidth="1"/>
    <col min="4" max="4" width="10.8515625" style="48" customWidth="1"/>
    <col min="5" max="5" width="6.8515625" style="48" bestFit="1" customWidth="1"/>
    <col min="6" max="6" width="6.7109375" style="48" customWidth="1"/>
    <col min="7" max="7" width="16.140625" style="48" bestFit="1" customWidth="1"/>
    <col min="8" max="8" width="10.57421875" style="48" customWidth="1"/>
    <col min="9" max="9" width="10.421875" style="48" customWidth="1"/>
    <col min="10" max="10" width="10.421875" style="48" bestFit="1" customWidth="1"/>
    <col min="11" max="11" width="6.8515625" style="48" bestFit="1" customWidth="1"/>
    <col min="12" max="12" width="19.421875" style="48" bestFit="1" customWidth="1"/>
    <col min="13" max="13" width="20.8515625" style="48" bestFit="1" customWidth="1"/>
    <col min="14" max="14" width="10.00390625" style="48" customWidth="1"/>
    <col min="15" max="15" width="9.8515625" style="48" bestFit="1" customWidth="1"/>
    <col min="16" max="16384" width="9.140625" style="48" customWidth="1"/>
  </cols>
  <sheetData>
    <row r="1" spans="1:8" ht="12.75">
      <c r="A1" s="290"/>
      <c r="B1" s="200"/>
      <c r="C1" s="200"/>
      <c r="D1" s="200"/>
      <c r="E1" s="200"/>
      <c r="F1" s="200"/>
      <c r="G1" s="200"/>
      <c r="H1" s="200"/>
    </row>
    <row r="2" spans="2:7" ht="12.75" customHeight="1">
      <c r="B2" s="288"/>
      <c r="C2" s="288"/>
      <c r="D2" s="288"/>
      <c r="E2" s="288"/>
      <c r="F2" s="288"/>
      <c r="G2" s="288"/>
    </row>
    <row r="3" spans="1:7" ht="12.75">
      <c r="A3" s="291"/>
      <c r="B3" s="292"/>
      <c r="C3" s="292"/>
      <c r="D3" s="293"/>
      <c r="E3" s="288"/>
      <c r="F3" s="288"/>
      <c r="G3" s="288"/>
    </row>
    <row r="4" spans="4:9" ht="51">
      <c r="D4" s="333" t="s">
        <v>728</v>
      </c>
      <c r="E4" s="333"/>
      <c r="F4" s="298" t="s">
        <v>988</v>
      </c>
      <c r="G4" s="298" t="s">
        <v>947</v>
      </c>
      <c r="H4" s="316" t="s">
        <v>921</v>
      </c>
      <c r="I4" s="294"/>
    </row>
    <row r="5" spans="1:9" ht="12.75">
      <c r="A5" s="148" t="s">
        <v>945</v>
      </c>
      <c r="B5" s="335" t="s">
        <v>918</v>
      </c>
      <c r="C5" s="335"/>
      <c r="D5" s="336" t="str">
        <f>MID(B5,FIND(" ",B5)+1,30)</f>
        <v>W(CO)4(h 3-Te)2+</v>
      </c>
      <c r="E5" s="336"/>
      <c r="F5" s="306">
        <f>INDEX($A$19:$E$242,MATCH($B$5,$A$19:$A$242,0),5)</f>
        <v>2</v>
      </c>
      <c r="G5" s="306">
        <f>INDEX($A$19:$E$242,MATCH($B$5,$A$19:$A$242,0),2)</f>
        <v>234</v>
      </c>
      <c r="H5" s="317">
        <f>IF(INDEX($A$19:$E$242,MATCH($B$5,$A$19:$A$242,0),3)="",0,INDEX($A$19:$E$242,MATCH($B$5,$A$19:$A$242,0),3))</f>
        <v>35</v>
      </c>
      <c r="I5" s="294"/>
    </row>
    <row r="6" spans="1:9" ht="12.75">
      <c r="A6" s="148" t="s">
        <v>946</v>
      </c>
      <c r="B6" s="335" t="s">
        <v>919</v>
      </c>
      <c r="C6" s="335"/>
      <c r="D6" s="336" t="str">
        <f>MID(B6,FIND(" ",B6)+1,30)</f>
        <v>Pt(NO2)4Cl22-</v>
      </c>
      <c r="E6" s="336"/>
      <c r="F6" s="306">
        <f>INDEX(G19:K289,MATCH($B$6,G19:G289,0),5)</f>
        <v>-2</v>
      </c>
      <c r="G6" s="306">
        <f>INDEX(G19:K289,MATCH($B$6,G19:G289,0),2)</f>
        <v>383</v>
      </c>
      <c r="H6" s="318">
        <f>INDEX(G19:K289,MATCH($B$6,G19:G289,0),3)</f>
        <v>19</v>
      </c>
      <c r="I6" s="295"/>
    </row>
    <row r="7" spans="6:7" ht="12.75">
      <c r="F7" s="148" t="s">
        <v>920</v>
      </c>
      <c r="G7" s="319">
        <f>SUM(G5:G6)</f>
        <v>617</v>
      </c>
    </row>
    <row r="8" spans="6:7" ht="12.75">
      <c r="F8" s="148" t="s">
        <v>948</v>
      </c>
      <c r="G8" s="306">
        <f>(F5-F6)/GCD(F5,-F6)</f>
        <v>2</v>
      </c>
    </row>
    <row r="9" ht="12.75"/>
    <row r="10" spans="2:6" ht="12.75">
      <c r="B10" s="127"/>
      <c r="C10" s="127"/>
      <c r="D10" s="313" t="s">
        <v>949</v>
      </c>
      <c r="E10" s="126">
        <f>-G8*F5*F6/G7*(1-34.5/G7)*121*1000</f>
        <v>1481.1565345991085</v>
      </c>
      <c r="F10" s="127" t="s">
        <v>950</v>
      </c>
    </row>
    <row r="11" spans="2:6" ht="12.75">
      <c r="B11" s="127"/>
      <c r="C11" s="127"/>
      <c r="D11" s="314" t="s">
        <v>740</v>
      </c>
      <c r="E11" s="315">
        <f>-G8*F5*F6*121*1000*(G7-2*34.5)/G7/G7/G7*SQRT(H5*H5+H6*H6)</f>
        <v>89.93982023219107</v>
      </c>
      <c r="F11" s="127" t="s">
        <v>950</v>
      </c>
    </row>
    <row r="12" ht="12.75"/>
    <row r="13" ht="12.75">
      <c r="A13" s="311" t="s">
        <v>11</v>
      </c>
    </row>
    <row r="14" ht="12.75">
      <c r="A14" s="312" t="s">
        <v>12</v>
      </c>
    </row>
    <row r="15" ht="12.75">
      <c r="A15" s="107" t="s">
        <v>741</v>
      </c>
    </row>
    <row r="16" spans="4:8" ht="18">
      <c r="D16" s="334" t="s">
        <v>983</v>
      </c>
      <c r="E16" s="334"/>
      <c r="F16" s="334"/>
      <c r="G16" s="334"/>
      <c r="H16" s="334"/>
    </row>
    <row r="17" ht="12.75">
      <c r="A17" s="107" t="s">
        <v>981</v>
      </c>
    </row>
    <row r="18" spans="1:12" ht="51">
      <c r="A18" s="297" t="s">
        <v>982</v>
      </c>
      <c r="B18" s="298" t="s">
        <v>947</v>
      </c>
      <c r="C18" s="298" t="s">
        <v>980</v>
      </c>
      <c r="D18" s="299" t="s">
        <v>917</v>
      </c>
      <c r="E18" s="300" t="s">
        <v>988</v>
      </c>
      <c r="F18" s="107"/>
      <c r="G18" s="297" t="s">
        <v>979</v>
      </c>
      <c r="H18" s="298" t="s">
        <v>947</v>
      </c>
      <c r="I18" s="301" t="s">
        <v>980</v>
      </c>
      <c r="J18" s="299" t="s">
        <v>917</v>
      </c>
      <c r="K18" s="302" t="s">
        <v>988</v>
      </c>
      <c r="L18" s="72"/>
    </row>
    <row r="19" spans="1:12" ht="15.75">
      <c r="A19" s="107" t="s">
        <v>13</v>
      </c>
      <c r="B19" s="303">
        <v>244</v>
      </c>
      <c r="C19" s="304">
        <v>27</v>
      </c>
      <c r="D19" s="305">
        <v>2</v>
      </c>
      <c r="E19" s="306">
        <v>1</v>
      </c>
      <c r="F19" s="107"/>
      <c r="G19" s="107" t="s">
        <v>14</v>
      </c>
      <c r="H19" s="107">
        <v>231</v>
      </c>
      <c r="I19" s="304">
        <v>19</v>
      </c>
      <c r="J19" s="306">
        <v>1</v>
      </c>
      <c r="K19" s="306">
        <v>-1</v>
      </c>
      <c r="L19" s="63"/>
    </row>
    <row r="20" spans="1:12" ht="15.75">
      <c r="A20" s="107" t="s">
        <v>15</v>
      </c>
      <c r="B20" s="303">
        <v>253</v>
      </c>
      <c r="C20" s="304">
        <v>27</v>
      </c>
      <c r="D20" s="305">
        <v>1</v>
      </c>
      <c r="E20" s="306">
        <v>1</v>
      </c>
      <c r="F20" s="107"/>
      <c r="G20" s="107" t="s">
        <v>16</v>
      </c>
      <c r="H20" s="107">
        <v>321</v>
      </c>
      <c r="I20" s="304">
        <v>23</v>
      </c>
      <c r="J20" s="306">
        <v>3</v>
      </c>
      <c r="K20" s="306">
        <v>-1</v>
      </c>
      <c r="L20" s="296"/>
    </row>
    <row r="21" spans="1:11" ht="15.75">
      <c r="A21" s="107" t="s">
        <v>17</v>
      </c>
      <c r="B21" s="303">
        <v>221</v>
      </c>
      <c r="C21" s="304">
        <v>27</v>
      </c>
      <c r="D21" s="305">
        <v>1</v>
      </c>
      <c r="E21" s="306">
        <v>1</v>
      </c>
      <c r="F21" s="107"/>
      <c r="G21" s="107" t="s">
        <v>18</v>
      </c>
      <c r="H21" s="107">
        <v>317</v>
      </c>
      <c r="I21" s="304">
        <v>19</v>
      </c>
      <c r="J21" s="306">
        <v>1</v>
      </c>
      <c r="K21" s="306">
        <v>-1</v>
      </c>
    </row>
    <row r="22" spans="1:11" ht="15.75">
      <c r="A22" s="107" t="s">
        <v>19</v>
      </c>
      <c r="B22" s="303">
        <v>155</v>
      </c>
      <c r="C22" s="304">
        <v>27</v>
      </c>
      <c r="D22" s="305">
        <v>1</v>
      </c>
      <c r="E22" s="306">
        <v>1</v>
      </c>
      <c r="F22" s="107"/>
      <c r="G22" s="107" t="s">
        <v>20</v>
      </c>
      <c r="H22" s="107">
        <v>214</v>
      </c>
      <c r="I22" s="304">
        <v>23</v>
      </c>
      <c r="J22" s="306">
        <v>4</v>
      </c>
      <c r="K22" s="306">
        <v>-1</v>
      </c>
    </row>
    <row r="23" spans="1:11" ht="15.75">
      <c r="A23" s="107" t="s">
        <v>21</v>
      </c>
      <c r="B23" s="303">
        <v>204</v>
      </c>
      <c r="C23" s="304">
        <v>27</v>
      </c>
      <c r="D23" s="305">
        <v>1</v>
      </c>
      <c r="E23" s="306">
        <v>1</v>
      </c>
      <c r="F23" s="107"/>
      <c r="G23" s="107" t="s">
        <v>22</v>
      </c>
      <c r="H23" s="107">
        <v>226</v>
      </c>
      <c r="I23" s="304">
        <v>19</v>
      </c>
      <c r="J23" s="306">
        <v>1</v>
      </c>
      <c r="K23" s="306">
        <v>-1</v>
      </c>
    </row>
    <row r="24" spans="1:11" ht="15.75">
      <c r="A24" s="107" t="s">
        <v>23</v>
      </c>
      <c r="B24" s="303">
        <v>229</v>
      </c>
      <c r="C24" s="304">
        <v>27</v>
      </c>
      <c r="D24" s="305">
        <v>2</v>
      </c>
      <c r="E24" s="306">
        <v>1</v>
      </c>
      <c r="F24" s="107"/>
      <c r="G24" s="107" t="s">
        <v>24</v>
      </c>
      <c r="H24" s="107">
        <v>374</v>
      </c>
      <c r="I24" s="304">
        <v>19</v>
      </c>
      <c r="J24" s="306">
        <v>1</v>
      </c>
      <c r="K24" s="306">
        <v>-1</v>
      </c>
    </row>
    <row r="25" spans="1:11" ht="15.75">
      <c r="A25" s="107" t="s">
        <v>25</v>
      </c>
      <c r="B25" s="303">
        <v>175</v>
      </c>
      <c r="C25" s="304">
        <v>27</v>
      </c>
      <c r="D25" s="305">
        <v>1</v>
      </c>
      <c r="E25" s="306">
        <v>1</v>
      </c>
      <c r="F25" s="107"/>
      <c r="G25" s="107" t="s">
        <v>26</v>
      </c>
      <c r="H25" s="107">
        <v>194</v>
      </c>
      <c r="I25" s="304">
        <v>19</v>
      </c>
      <c r="J25" s="306">
        <v>1</v>
      </c>
      <c r="K25" s="306">
        <v>-1</v>
      </c>
    </row>
    <row r="26" spans="1:11" ht="15.75">
      <c r="A26" s="107" t="s">
        <v>27</v>
      </c>
      <c r="B26" s="303">
        <v>183</v>
      </c>
      <c r="C26" s="304">
        <v>27</v>
      </c>
      <c r="D26" s="305">
        <v>1</v>
      </c>
      <c r="E26" s="306">
        <v>1</v>
      </c>
      <c r="F26" s="107"/>
      <c r="G26" s="107" t="s">
        <v>28</v>
      </c>
      <c r="H26" s="107">
        <v>243</v>
      </c>
      <c r="I26" s="304">
        <v>19</v>
      </c>
      <c r="J26" s="306">
        <v>4</v>
      </c>
      <c r="K26" s="306">
        <v>-1</v>
      </c>
    </row>
    <row r="27" spans="1:11" ht="15.75">
      <c r="A27" s="107" t="s">
        <v>29</v>
      </c>
      <c r="B27" s="303">
        <v>172</v>
      </c>
      <c r="C27" s="304">
        <v>27</v>
      </c>
      <c r="D27" s="305">
        <v>1</v>
      </c>
      <c r="E27" s="306">
        <v>1</v>
      </c>
      <c r="F27" s="107"/>
      <c r="G27" s="107" t="s">
        <v>30</v>
      </c>
      <c r="H27" s="107">
        <v>211</v>
      </c>
      <c r="I27" s="304">
        <v>19</v>
      </c>
      <c r="J27" s="306">
        <v>1</v>
      </c>
      <c r="K27" s="306">
        <v>-1</v>
      </c>
    </row>
    <row r="28" spans="1:11" ht="15.75">
      <c r="A28" s="107" t="s">
        <v>31</v>
      </c>
      <c r="B28" s="303">
        <v>265</v>
      </c>
      <c r="C28" s="304">
        <v>27</v>
      </c>
      <c r="D28" s="305">
        <v>1</v>
      </c>
      <c r="E28" s="306">
        <v>1</v>
      </c>
      <c r="F28" s="107"/>
      <c r="G28" s="107" t="s">
        <v>32</v>
      </c>
      <c r="H28" s="107">
        <v>266</v>
      </c>
      <c r="I28" s="304">
        <v>19</v>
      </c>
      <c r="J28" s="306">
        <v>1</v>
      </c>
      <c r="K28" s="306">
        <v>-1</v>
      </c>
    </row>
    <row r="29" spans="1:11" ht="15.75">
      <c r="A29" s="107" t="s">
        <v>33</v>
      </c>
      <c r="B29" s="303">
        <v>228</v>
      </c>
      <c r="C29" s="304">
        <v>27</v>
      </c>
      <c r="D29" s="305">
        <v>1</v>
      </c>
      <c r="E29" s="306">
        <v>1</v>
      </c>
      <c r="F29" s="107"/>
      <c r="G29" s="107" t="s">
        <v>34</v>
      </c>
      <c r="H29" s="107">
        <v>288</v>
      </c>
      <c r="I29" s="304">
        <v>19</v>
      </c>
      <c r="J29" s="306">
        <v>1</v>
      </c>
      <c r="K29" s="306">
        <v>-1</v>
      </c>
    </row>
    <row r="30" spans="1:11" ht="15.75">
      <c r="A30" s="107" t="s">
        <v>35</v>
      </c>
      <c r="B30" s="303">
        <v>347</v>
      </c>
      <c r="C30" s="304">
        <v>27</v>
      </c>
      <c r="D30" s="305">
        <v>1</v>
      </c>
      <c r="E30" s="306">
        <v>1</v>
      </c>
      <c r="F30" s="107"/>
      <c r="G30" s="107" t="s">
        <v>36</v>
      </c>
      <c r="H30" s="107">
        <v>240</v>
      </c>
      <c r="I30" s="304">
        <v>19</v>
      </c>
      <c r="J30" s="306">
        <v>1</v>
      </c>
      <c r="K30" s="306">
        <v>-1</v>
      </c>
    </row>
    <row r="31" spans="1:11" ht="15.75">
      <c r="A31" s="107" t="s">
        <v>37</v>
      </c>
      <c r="B31" s="303">
        <v>173</v>
      </c>
      <c r="C31" s="304">
        <v>27</v>
      </c>
      <c r="D31" s="305">
        <v>1</v>
      </c>
      <c r="E31" s="306">
        <v>1</v>
      </c>
      <c r="F31" s="107"/>
      <c r="G31" s="107" t="s">
        <v>38</v>
      </c>
      <c r="H31" s="107">
        <v>235</v>
      </c>
      <c r="I31" s="304">
        <v>38</v>
      </c>
      <c r="J31" s="306">
        <v>1</v>
      </c>
      <c r="K31" s="306">
        <v>-1</v>
      </c>
    </row>
    <row r="32" spans="1:11" ht="15.75">
      <c r="A32" s="107" t="s">
        <v>39</v>
      </c>
      <c r="B32" s="303">
        <v>165</v>
      </c>
      <c r="C32" s="304">
        <v>27</v>
      </c>
      <c r="D32" s="305">
        <v>1</v>
      </c>
      <c r="E32" s="306">
        <v>1</v>
      </c>
      <c r="F32" s="107"/>
      <c r="G32" s="107" t="s">
        <v>40</v>
      </c>
      <c r="H32" s="107">
        <v>229</v>
      </c>
      <c r="I32" s="304">
        <v>19</v>
      </c>
      <c r="J32" s="306">
        <v>1</v>
      </c>
      <c r="K32" s="306">
        <v>-1</v>
      </c>
    </row>
    <row r="33" spans="1:11" ht="15.75">
      <c r="A33" s="107" t="s">
        <v>41</v>
      </c>
      <c r="B33" s="303">
        <v>182</v>
      </c>
      <c r="C33" s="304">
        <v>27</v>
      </c>
      <c r="D33" s="305">
        <v>1</v>
      </c>
      <c r="E33" s="306">
        <v>1</v>
      </c>
      <c r="F33" s="107"/>
      <c r="G33" s="107" t="s">
        <v>42</v>
      </c>
      <c r="H33" s="107">
        <v>205</v>
      </c>
      <c r="I33" s="304">
        <v>19</v>
      </c>
      <c r="J33" s="306">
        <v>4</v>
      </c>
      <c r="K33" s="306">
        <v>-1</v>
      </c>
    </row>
    <row r="34" spans="1:11" ht="15.75">
      <c r="A34" s="107" t="s">
        <v>43</v>
      </c>
      <c r="B34" s="303">
        <v>147</v>
      </c>
      <c r="C34" s="304">
        <v>27</v>
      </c>
      <c r="D34" s="305">
        <v>1</v>
      </c>
      <c r="E34" s="306">
        <v>1</v>
      </c>
      <c r="F34" s="107"/>
      <c r="G34" s="107" t="s">
        <v>44</v>
      </c>
      <c r="H34" s="107">
        <v>205</v>
      </c>
      <c r="I34" s="304">
        <v>19</v>
      </c>
      <c r="J34" s="306">
        <v>4</v>
      </c>
      <c r="K34" s="306">
        <v>-1</v>
      </c>
    </row>
    <row r="35" spans="1:11" ht="15.75">
      <c r="A35" s="107" t="s">
        <v>45</v>
      </c>
      <c r="B35" s="303">
        <v>118</v>
      </c>
      <c r="C35" s="304">
        <v>27</v>
      </c>
      <c r="D35" s="305">
        <v>1</v>
      </c>
      <c r="E35" s="306">
        <v>1</v>
      </c>
      <c r="F35" s="107"/>
      <c r="G35" s="107" t="s">
        <v>46</v>
      </c>
      <c r="H35" s="107">
        <v>190</v>
      </c>
      <c r="I35" s="304">
        <v>19</v>
      </c>
      <c r="J35" s="306">
        <v>4</v>
      </c>
      <c r="K35" s="306">
        <v>-1</v>
      </c>
    </row>
    <row r="36" spans="1:11" ht="15.75">
      <c r="A36" s="107" t="s">
        <v>47</v>
      </c>
      <c r="B36" s="303">
        <v>185</v>
      </c>
      <c r="C36" s="304">
        <v>27</v>
      </c>
      <c r="D36" s="305">
        <v>1</v>
      </c>
      <c r="E36" s="306">
        <v>1</v>
      </c>
      <c r="F36" s="107"/>
      <c r="G36" s="107" t="s">
        <v>48</v>
      </c>
      <c r="H36" s="107">
        <v>238</v>
      </c>
      <c r="I36" s="304">
        <v>27</v>
      </c>
      <c r="J36" s="306">
        <v>1</v>
      </c>
      <c r="K36" s="306">
        <v>-1</v>
      </c>
    </row>
    <row r="37" spans="1:11" ht="15.75">
      <c r="A37" s="107" t="s">
        <v>49</v>
      </c>
      <c r="B37" s="303">
        <v>225</v>
      </c>
      <c r="C37" s="304">
        <v>27</v>
      </c>
      <c r="D37" s="305">
        <v>1</v>
      </c>
      <c r="E37" s="306">
        <v>1</v>
      </c>
      <c r="F37" s="107"/>
      <c r="G37" s="107" t="s">
        <v>50</v>
      </c>
      <c r="H37" s="107">
        <v>231</v>
      </c>
      <c r="I37" s="304">
        <v>19</v>
      </c>
      <c r="J37" s="306">
        <v>2</v>
      </c>
      <c r="K37" s="306">
        <v>-1</v>
      </c>
    </row>
    <row r="38" spans="1:11" ht="15.75">
      <c r="A38" s="107" t="s">
        <v>51</v>
      </c>
      <c r="B38" s="303">
        <v>263</v>
      </c>
      <c r="C38" s="304">
        <v>27</v>
      </c>
      <c r="D38" s="305">
        <v>1</v>
      </c>
      <c r="E38" s="306">
        <v>1</v>
      </c>
      <c r="F38" s="107"/>
      <c r="G38" s="107" t="s">
        <v>52</v>
      </c>
      <c r="H38" s="107">
        <v>214</v>
      </c>
      <c r="I38" s="304">
        <v>19</v>
      </c>
      <c r="J38" s="306">
        <v>4</v>
      </c>
      <c r="K38" s="306">
        <v>-1</v>
      </c>
    </row>
    <row r="39" spans="1:11" ht="15.75">
      <c r="A39" s="107" t="s">
        <v>53</v>
      </c>
      <c r="B39" s="303">
        <v>196</v>
      </c>
      <c r="C39" s="304">
        <v>27</v>
      </c>
      <c r="D39" s="305">
        <v>1</v>
      </c>
      <c r="E39" s="306">
        <v>1</v>
      </c>
      <c r="F39" s="107"/>
      <c r="G39" s="107" t="s">
        <v>54</v>
      </c>
      <c r="H39" s="107">
        <v>230</v>
      </c>
      <c r="I39" s="304">
        <v>49</v>
      </c>
      <c r="J39" s="306">
        <v>2</v>
      </c>
      <c r="K39" s="306">
        <v>-1</v>
      </c>
    </row>
    <row r="40" spans="1:11" ht="15.75">
      <c r="A40" s="107" t="s">
        <v>55</v>
      </c>
      <c r="B40" s="303">
        <v>175</v>
      </c>
      <c r="C40" s="304">
        <v>36</v>
      </c>
      <c r="D40" s="305">
        <v>4</v>
      </c>
      <c r="E40" s="306">
        <v>1</v>
      </c>
      <c r="F40" s="107"/>
      <c r="G40" s="107" t="s">
        <v>56</v>
      </c>
      <c r="H40" s="107">
        <v>194</v>
      </c>
      <c r="I40" s="304">
        <v>19</v>
      </c>
      <c r="J40" s="306">
        <v>1</v>
      </c>
      <c r="K40" s="306">
        <v>-1</v>
      </c>
    </row>
    <row r="41" spans="1:11" ht="15.75">
      <c r="A41" s="107" t="s">
        <v>57</v>
      </c>
      <c r="B41" s="303">
        <v>209</v>
      </c>
      <c r="C41" s="304">
        <v>27</v>
      </c>
      <c r="D41" s="305">
        <v>1</v>
      </c>
      <c r="E41" s="306">
        <v>1</v>
      </c>
      <c r="F41" s="107"/>
      <c r="G41" s="107" t="s">
        <v>58</v>
      </c>
      <c r="H41" s="107">
        <v>168</v>
      </c>
      <c r="I41" s="304">
        <v>19</v>
      </c>
      <c r="J41" s="306">
        <v>3</v>
      </c>
      <c r="K41" s="306">
        <v>-1</v>
      </c>
    </row>
    <row r="42" spans="1:11" ht="15.75">
      <c r="A42" s="107" t="s">
        <v>59</v>
      </c>
      <c r="B42" s="303">
        <v>234</v>
      </c>
      <c r="C42" s="304">
        <v>19</v>
      </c>
      <c r="D42" s="305">
        <v>3</v>
      </c>
      <c r="E42" s="306">
        <v>1</v>
      </c>
      <c r="F42" s="107"/>
      <c r="G42" s="107" t="s">
        <v>60</v>
      </c>
      <c r="H42" s="107">
        <v>195</v>
      </c>
      <c r="I42" s="304">
        <v>19</v>
      </c>
      <c r="J42" s="306">
        <v>1</v>
      </c>
      <c r="K42" s="306">
        <v>-1</v>
      </c>
    </row>
    <row r="43" spans="1:11" ht="15.75">
      <c r="A43" s="107" t="s">
        <v>61</v>
      </c>
      <c r="B43" s="303">
        <v>258</v>
      </c>
      <c r="C43" s="304">
        <v>27</v>
      </c>
      <c r="D43" s="305">
        <v>1</v>
      </c>
      <c r="E43" s="306">
        <v>1</v>
      </c>
      <c r="F43" s="107"/>
      <c r="G43" s="107" t="s">
        <v>62</v>
      </c>
      <c r="H43" s="107">
        <v>208</v>
      </c>
      <c r="I43" s="304">
        <v>19</v>
      </c>
      <c r="J43" s="306">
        <v>5</v>
      </c>
      <c r="K43" s="306">
        <v>-1</v>
      </c>
    </row>
    <row r="44" spans="1:11" ht="15.75">
      <c r="A44" s="107" t="s">
        <v>63</v>
      </c>
      <c r="B44" s="303">
        <v>186</v>
      </c>
      <c r="C44" s="304">
        <v>27</v>
      </c>
      <c r="D44" s="305">
        <v>1</v>
      </c>
      <c r="E44" s="306">
        <v>1</v>
      </c>
      <c r="F44" s="107"/>
      <c r="G44" s="107" t="s">
        <v>64</v>
      </c>
      <c r="H44" s="107">
        <v>225</v>
      </c>
      <c r="I44" s="304">
        <v>19</v>
      </c>
      <c r="J44" s="306">
        <v>6</v>
      </c>
      <c r="K44" s="306">
        <v>-1</v>
      </c>
    </row>
    <row r="45" spans="1:11" ht="15.75">
      <c r="A45" s="107" t="s">
        <v>65</v>
      </c>
      <c r="B45" s="303">
        <v>246</v>
      </c>
      <c r="C45" s="304">
        <v>27</v>
      </c>
      <c r="D45" s="305">
        <v>1</v>
      </c>
      <c r="E45" s="306">
        <v>1</v>
      </c>
      <c r="F45" s="107"/>
      <c r="G45" s="107" t="s">
        <v>66</v>
      </c>
      <c r="H45" s="107">
        <v>260</v>
      </c>
      <c r="I45" s="304">
        <v>49</v>
      </c>
      <c r="J45" s="306">
        <v>2</v>
      </c>
      <c r="K45" s="306">
        <v>-1</v>
      </c>
    </row>
    <row r="46" spans="1:11" ht="15.75">
      <c r="A46" s="107" t="s">
        <v>67</v>
      </c>
      <c r="B46" s="303">
        <v>214</v>
      </c>
      <c r="C46" s="304">
        <v>27</v>
      </c>
      <c r="D46" s="305">
        <v>1</v>
      </c>
      <c r="E46" s="306">
        <v>1</v>
      </c>
      <c r="F46" s="107"/>
      <c r="G46" s="107" t="s">
        <v>68</v>
      </c>
      <c r="H46" s="107">
        <v>187</v>
      </c>
      <c r="I46" s="304">
        <v>23</v>
      </c>
      <c r="J46" s="306">
        <v>4</v>
      </c>
      <c r="K46" s="306">
        <v>-1</v>
      </c>
    </row>
    <row r="47" spans="1:11" ht="15.75">
      <c r="A47" s="107" t="s">
        <v>69</v>
      </c>
      <c r="B47" s="303">
        <v>156</v>
      </c>
      <c r="C47" s="304">
        <v>27</v>
      </c>
      <c r="D47" s="305">
        <v>1</v>
      </c>
      <c r="E47" s="306">
        <v>1</v>
      </c>
      <c r="F47" s="107"/>
      <c r="G47" s="107" t="s">
        <v>70</v>
      </c>
      <c r="H47" s="107">
        <v>193</v>
      </c>
      <c r="I47" s="304">
        <v>19</v>
      </c>
      <c r="J47" s="306">
        <v>3</v>
      </c>
      <c r="K47" s="306">
        <v>-1</v>
      </c>
    </row>
    <row r="48" spans="1:11" ht="15.75">
      <c r="A48" s="107" t="s">
        <v>71</v>
      </c>
      <c r="B48" s="303">
        <v>158</v>
      </c>
      <c r="C48" s="304">
        <v>19</v>
      </c>
      <c r="D48" s="305">
        <v>1</v>
      </c>
      <c r="E48" s="306">
        <v>1</v>
      </c>
      <c r="F48" s="107"/>
      <c r="G48" s="107" t="s">
        <v>72</v>
      </c>
      <c r="H48" s="107">
        <v>209</v>
      </c>
      <c r="I48" s="304">
        <v>19</v>
      </c>
      <c r="J48" s="306">
        <v>2</v>
      </c>
      <c r="K48" s="306">
        <v>-1</v>
      </c>
    </row>
    <row r="49" spans="1:11" ht="15.75">
      <c r="A49" s="107" t="s">
        <v>73</v>
      </c>
      <c r="B49" s="303">
        <v>158</v>
      </c>
      <c r="C49" s="304">
        <v>29</v>
      </c>
      <c r="D49" s="305">
        <v>2</v>
      </c>
      <c r="E49" s="306">
        <v>2</v>
      </c>
      <c r="F49" s="107"/>
      <c r="G49" s="107" t="s">
        <v>74</v>
      </c>
      <c r="H49" s="107">
        <v>276</v>
      </c>
      <c r="I49" s="304">
        <v>19</v>
      </c>
      <c r="J49" s="306">
        <v>2</v>
      </c>
      <c r="K49" s="306">
        <v>-1</v>
      </c>
    </row>
    <row r="50" spans="1:11" ht="15.75">
      <c r="A50" s="107" t="s">
        <v>75</v>
      </c>
      <c r="B50" s="303">
        <v>274</v>
      </c>
      <c r="C50" s="304">
        <v>19</v>
      </c>
      <c r="D50" s="305">
        <v>2</v>
      </c>
      <c r="E50" s="306">
        <v>3</v>
      </c>
      <c r="F50" s="107"/>
      <c r="G50" s="107" t="s">
        <v>76</v>
      </c>
      <c r="H50" s="107">
        <v>315</v>
      </c>
      <c r="I50" s="304">
        <v>19</v>
      </c>
      <c r="J50" s="306">
        <v>1</v>
      </c>
      <c r="K50" s="306">
        <v>-1</v>
      </c>
    </row>
    <row r="51" spans="1:11" ht="15.75">
      <c r="A51" s="107" t="s">
        <v>77</v>
      </c>
      <c r="B51" s="303">
        <v>203</v>
      </c>
      <c r="C51" s="304">
        <v>19</v>
      </c>
      <c r="D51" s="305">
        <v>2</v>
      </c>
      <c r="E51" s="306">
        <v>1</v>
      </c>
      <c r="F51" s="107"/>
      <c r="G51" s="107" t="s">
        <v>78</v>
      </c>
      <c r="H51" s="107">
        <v>126</v>
      </c>
      <c r="I51" s="304">
        <v>19</v>
      </c>
      <c r="J51" s="306">
        <v>4</v>
      </c>
      <c r="K51" s="306">
        <v>-1</v>
      </c>
    </row>
    <row r="52" spans="1:11" ht="15.75">
      <c r="A52" s="107" t="s">
        <v>79</v>
      </c>
      <c r="B52" s="303">
        <v>193</v>
      </c>
      <c r="C52" s="304">
        <v>19</v>
      </c>
      <c r="D52" s="305">
        <v>1</v>
      </c>
      <c r="E52" s="306">
        <v>1</v>
      </c>
      <c r="F52" s="107"/>
      <c r="G52" s="107" t="s">
        <v>80</v>
      </c>
      <c r="H52" s="107">
        <v>317</v>
      </c>
      <c r="I52" s="304">
        <v>19</v>
      </c>
      <c r="J52" s="306">
        <v>1</v>
      </c>
      <c r="K52" s="306">
        <v>-1</v>
      </c>
    </row>
    <row r="53" spans="1:11" ht="15.75">
      <c r="A53" s="107" t="s">
        <v>81</v>
      </c>
      <c r="B53" s="303">
        <v>225</v>
      </c>
      <c r="C53" s="304">
        <v>19</v>
      </c>
      <c r="D53" s="305">
        <v>3</v>
      </c>
      <c r="E53" s="306">
        <v>1</v>
      </c>
      <c r="F53" s="107"/>
      <c r="G53" s="107" t="s">
        <v>82</v>
      </c>
      <c r="H53" s="107">
        <v>317</v>
      </c>
      <c r="I53" s="304">
        <v>38</v>
      </c>
      <c r="J53" s="306">
        <v>1</v>
      </c>
      <c r="K53" s="306">
        <v>-1</v>
      </c>
    </row>
    <row r="54" spans="1:11" ht="15.75">
      <c r="A54" s="107" t="s">
        <v>83</v>
      </c>
      <c r="B54" s="303">
        <v>177</v>
      </c>
      <c r="C54" s="304">
        <v>19</v>
      </c>
      <c r="D54" s="305">
        <v>2</v>
      </c>
      <c r="E54" s="306">
        <v>1</v>
      </c>
      <c r="F54" s="107"/>
      <c r="G54" s="107" t="s">
        <v>84</v>
      </c>
      <c r="H54" s="107">
        <v>328</v>
      </c>
      <c r="I54" s="304">
        <v>19</v>
      </c>
      <c r="J54" s="306">
        <v>1</v>
      </c>
      <c r="K54" s="306">
        <v>-1</v>
      </c>
    </row>
    <row r="55" spans="1:11" ht="15.75">
      <c r="A55" s="107" t="s">
        <v>85</v>
      </c>
      <c r="B55" s="303">
        <v>147</v>
      </c>
      <c r="C55" s="304">
        <v>19</v>
      </c>
      <c r="D55" s="305">
        <v>2</v>
      </c>
      <c r="E55" s="306">
        <v>1</v>
      </c>
      <c r="F55" s="107"/>
      <c r="G55" s="107" t="s">
        <v>86</v>
      </c>
      <c r="H55" s="107">
        <v>148</v>
      </c>
      <c r="I55" s="304">
        <v>19</v>
      </c>
      <c r="J55" s="306">
        <v>4</v>
      </c>
      <c r="K55" s="306">
        <v>-1</v>
      </c>
    </row>
    <row r="56" spans="1:11" ht="15.75">
      <c r="A56" s="107" t="s">
        <v>87</v>
      </c>
      <c r="B56" s="303">
        <v>136</v>
      </c>
      <c r="C56" s="304">
        <v>19</v>
      </c>
      <c r="D56" s="305">
        <v>3</v>
      </c>
      <c r="E56" s="306">
        <v>1</v>
      </c>
      <c r="F56" s="107"/>
      <c r="G56" s="107" t="s">
        <v>88</v>
      </c>
      <c r="H56" s="107">
        <v>227</v>
      </c>
      <c r="I56" s="304">
        <v>19</v>
      </c>
      <c r="J56" s="306">
        <v>2</v>
      </c>
      <c r="K56" s="306">
        <v>-1</v>
      </c>
    </row>
    <row r="57" spans="1:11" ht="15.75">
      <c r="A57" s="107" t="s">
        <v>89</v>
      </c>
      <c r="B57" s="303">
        <v>145</v>
      </c>
      <c r="C57" s="304">
        <v>27</v>
      </c>
      <c r="D57" s="305">
        <v>5</v>
      </c>
      <c r="E57" s="306">
        <v>1</v>
      </c>
      <c r="F57" s="107"/>
      <c r="G57" s="107" t="s">
        <v>90</v>
      </c>
      <c r="H57" s="107">
        <v>213</v>
      </c>
      <c r="I57" s="304">
        <v>19</v>
      </c>
      <c r="J57" s="306">
        <v>2</v>
      </c>
      <c r="K57" s="306">
        <v>-1</v>
      </c>
    </row>
    <row r="58" spans="1:11" ht="15.75">
      <c r="A58" s="107" t="s">
        <v>91</v>
      </c>
      <c r="B58" s="303">
        <v>153</v>
      </c>
      <c r="C58" s="304">
        <v>27</v>
      </c>
      <c r="D58" s="305">
        <v>2</v>
      </c>
      <c r="E58" s="306">
        <v>1</v>
      </c>
      <c r="F58" s="107"/>
      <c r="G58" s="107" t="s">
        <v>92</v>
      </c>
      <c r="H58" s="107">
        <v>200</v>
      </c>
      <c r="I58" s="304">
        <v>19</v>
      </c>
      <c r="J58" s="306">
        <v>1</v>
      </c>
      <c r="K58" s="306">
        <v>-1</v>
      </c>
    </row>
    <row r="59" spans="1:11" ht="15.75">
      <c r="A59" s="107" t="s">
        <v>93</v>
      </c>
      <c r="B59" s="303">
        <v>275</v>
      </c>
      <c r="C59" s="304">
        <v>27</v>
      </c>
      <c r="D59" s="305">
        <v>1</v>
      </c>
      <c r="E59" s="306">
        <v>1</v>
      </c>
      <c r="F59" s="107"/>
      <c r="G59" s="107" t="s">
        <v>94</v>
      </c>
      <c r="H59" s="107">
        <v>207</v>
      </c>
      <c r="I59" s="304">
        <v>19</v>
      </c>
      <c r="J59" s="306">
        <v>2</v>
      </c>
      <c r="K59" s="306">
        <v>-1</v>
      </c>
    </row>
    <row r="60" spans="1:11" ht="15.75">
      <c r="A60" s="107" t="s">
        <v>95</v>
      </c>
      <c r="B60" s="303">
        <v>140</v>
      </c>
      <c r="C60" s="304">
        <v>27</v>
      </c>
      <c r="D60" s="305">
        <v>4</v>
      </c>
      <c r="E60" s="306">
        <v>1</v>
      </c>
      <c r="F60" s="107"/>
      <c r="G60" s="107" t="s">
        <v>96</v>
      </c>
      <c r="H60" s="107">
        <v>172</v>
      </c>
      <c r="I60" s="304">
        <v>19</v>
      </c>
      <c r="J60" s="306">
        <v>5</v>
      </c>
      <c r="K60" s="306">
        <v>-1</v>
      </c>
    </row>
    <row r="61" spans="1:11" ht="15.75">
      <c r="A61" s="107" t="s">
        <v>97</v>
      </c>
      <c r="B61" s="303">
        <v>200</v>
      </c>
      <c r="C61" s="304">
        <v>27</v>
      </c>
      <c r="D61" s="305">
        <v>1</v>
      </c>
      <c r="E61" s="306">
        <v>1</v>
      </c>
      <c r="F61" s="107"/>
      <c r="G61" s="107" t="s">
        <v>98</v>
      </c>
      <c r="H61" s="107">
        <v>221</v>
      </c>
      <c r="I61" s="304">
        <v>19</v>
      </c>
      <c r="J61" s="306">
        <v>2</v>
      </c>
      <c r="K61" s="306">
        <v>-1</v>
      </c>
    </row>
    <row r="62" spans="1:11" ht="15.75">
      <c r="A62" s="107" t="s">
        <v>99</v>
      </c>
      <c r="B62" s="303">
        <v>197</v>
      </c>
      <c r="C62" s="304">
        <v>27</v>
      </c>
      <c r="D62" s="305">
        <v>1</v>
      </c>
      <c r="E62" s="306">
        <v>1</v>
      </c>
      <c r="F62" s="107"/>
      <c r="G62" s="107" t="s">
        <v>100</v>
      </c>
      <c r="H62" s="107">
        <v>211</v>
      </c>
      <c r="I62" s="304">
        <v>19</v>
      </c>
      <c r="J62" s="306">
        <v>4</v>
      </c>
      <c r="K62" s="306">
        <v>-1</v>
      </c>
    </row>
    <row r="63" spans="1:11" ht="15.75">
      <c r="A63" s="107" t="s">
        <v>101</v>
      </c>
      <c r="B63" s="303">
        <v>196</v>
      </c>
      <c r="C63" s="304">
        <v>27</v>
      </c>
      <c r="D63" s="305">
        <v>1</v>
      </c>
      <c r="E63" s="306">
        <v>1</v>
      </c>
      <c r="F63" s="107"/>
      <c r="G63" s="107" t="s">
        <v>102</v>
      </c>
      <c r="H63" s="107">
        <v>261</v>
      </c>
      <c r="I63" s="304">
        <v>19</v>
      </c>
      <c r="J63" s="306">
        <v>1</v>
      </c>
      <c r="K63" s="306">
        <v>-1</v>
      </c>
    </row>
    <row r="64" spans="1:11" ht="15.75">
      <c r="A64" s="107" t="s">
        <v>103</v>
      </c>
      <c r="B64" s="303">
        <v>235</v>
      </c>
      <c r="C64" s="304">
        <v>27</v>
      </c>
      <c r="D64" s="305">
        <v>2</v>
      </c>
      <c r="E64" s="306">
        <v>1</v>
      </c>
      <c r="F64" s="107"/>
      <c r="G64" s="107" t="s">
        <v>104</v>
      </c>
      <c r="H64" s="107">
        <v>272</v>
      </c>
      <c r="I64" s="304">
        <v>19</v>
      </c>
      <c r="J64" s="306">
        <v>1</v>
      </c>
      <c r="K64" s="306">
        <v>-1</v>
      </c>
    </row>
    <row r="65" spans="1:11" ht="15.75">
      <c r="A65" s="107" t="s">
        <v>105</v>
      </c>
      <c r="B65" s="303">
        <v>207</v>
      </c>
      <c r="C65" s="304">
        <v>27</v>
      </c>
      <c r="D65" s="305">
        <v>1</v>
      </c>
      <c r="E65" s="306">
        <v>1</v>
      </c>
      <c r="F65" s="107"/>
      <c r="G65" s="107" t="s">
        <v>106</v>
      </c>
      <c r="H65" s="107">
        <v>300</v>
      </c>
      <c r="I65" s="304">
        <v>19</v>
      </c>
      <c r="J65" s="306">
        <v>1</v>
      </c>
      <c r="K65" s="306">
        <v>-1</v>
      </c>
    </row>
    <row r="66" spans="1:11" ht="15.75">
      <c r="A66" s="107" t="s">
        <v>107</v>
      </c>
      <c r="B66" s="303">
        <v>439</v>
      </c>
      <c r="C66" s="304">
        <v>27</v>
      </c>
      <c r="D66" s="305">
        <v>1</v>
      </c>
      <c r="E66" s="306">
        <v>1</v>
      </c>
      <c r="F66" s="107"/>
      <c r="G66" s="107" t="s">
        <v>108</v>
      </c>
      <c r="H66" s="107">
        <v>251</v>
      </c>
      <c r="I66" s="304">
        <v>19</v>
      </c>
      <c r="J66" s="306">
        <v>1</v>
      </c>
      <c r="K66" s="306">
        <v>-1</v>
      </c>
    </row>
    <row r="67" spans="1:11" ht="15.75">
      <c r="A67" s="107" t="s">
        <v>109</v>
      </c>
      <c r="B67" s="303">
        <v>265</v>
      </c>
      <c r="C67" s="304">
        <v>27</v>
      </c>
      <c r="D67" s="305">
        <v>1</v>
      </c>
      <c r="E67" s="306">
        <v>1</v>
      </c>
      <c r="F67" s="107"/>
      <c r="G67" s="107" t="s">
        <v>110</v>
      </c>
      <c r="H67" s="107">
        <v>235</v>
      </c>
      <c r="I67" s="304">
        <v>19</v>
      </c>
      <c r="J67" s="306">
        <v>1</v>
      </c>
      <c r="K67" s="306">
        <v>-1</v>
      </c>
    </row>
    <row r="68" spans="1:11" ht="15.75">
      <c r="A68" s="107" t="s">
        <v>111</v>
      </c>
      <c r="B68" s="303">
        <v>223</v>
      </c>
      <c r="C68" s="304">
        <v>27</v>
      </c>
      <c r="D68" s="305">
        <v>1</v>
      </c>
      <c r="E68" s="306">
        <v>1</v>
      </c>
      <c r="F68" s="107"/>
      <c r="G68" s="107" t="s">
        <v>112</v>
      </c>
      <c r="H68" s="107">
        <v>307</v>
      </c>
      <c r="I68" s="304">
        <v>19</v>
      </c>
      <c r="J68" s="306">
        <v>1</v>
      </c>
      <c r="K68" s="306">
        <v>-1</v>
      </c>
    </row>
    <row r="69" spans="1:11" ht="15.75">
      <c r="A69" s="107" t="s">
        <v>113</v>
      </c>
      <c r="B69" s="303">
        <v>233</v>
      </c>
      <c r="C69" s="304">
        <v>27</v>
      </c>
      <c r="D69" s="305">
        <v>1</v>
      </c>
      <c r="E69" s="306">
        <v>1</v>
      </c>
      <c r="F69" s="107"/>
      <c r="G69" s="107" t="s">
        <v>114</v>
      </c>
      <c r="H69" s="107">
        <v>233</v>
      </c>
      <c r="I69" s="304">
        <v>19</v>
      </c>
      <c r="J69" s="306">
        <v>1</v>
      </c>
      <c r="K69" s="306">
        <v>-1</v>
      </c>
    </row>
    <row r="70" spans="1:11" ht="15.75">
      <c r="A70" s="107" t="s">
        <v>115</v>
      </c>
      <c r="B70" s="303">
        <v>267</v>
      </c>
      <c r="C70" s="304">
        <v>27</v>
      </c>
      <c r="D70" s="305">
        <v>1</v>
      </c>
      <c r="E70" s="306">
        <v>1</v>
      </c>
      <c r="F70" s="107"/>
      <c r="G70" s="107" t="s">
        <v>116</v>
      </c>
      <c r="H70" s="107">
        <v>218</v>
      </c>
      <c r="I70" s="304">
        <v>19</v>
      </c>
      <c r="J70" s="306">
        <v>6</v>
      </c>
      <c r="K70" s="306">
        <v>-1</v>
      </c>
    </row>
    <row r="71" spans="1:11" ht="15.75">
      <c r="A71" s="107" t="s">
        <v>117</v>
      </c>
      <c r="B71" s="303">
        <v>159</v>
      </c>
      <c r="C71" s="304">
        <v>34</v>
      </c>
      <c r="D71" s="305">
        <v>3</v>
      </c>
      <c r="E71" s="306">
        <v>1</v>
      </c>
      <c r="F71" s="107"/>
      <c r="G71" s="107" t="s">
        <v>118</v>
      </c>
      <c r="H71" s="107">
        <v>231</v>
      </c>
      <c r="I71" s="304">
        <v>19</v>
      </c>
      <c r="J71" s="306">
        <v>5</v>
      </c>
      <c r="K71" s="306">
        <v>-1</v>
      </c>
    </row>
    <row r="72" spans="1:11" ht="15.75">
      <c r="A72" s="107" t="s">
        <v>119</v>
      </c>
      <c r="B72" s="303">
        <v>211</v>
      </c>
      <c r="C72" s="304">
        <v>27</v>
      </c>
      <c r="D72" s="305">
        <v>1</v>
      </c>
      <c r="E72" s="306">
        <v>1</v>
      </c>
      <c r="F72" s="107"/>
      <c r="G72" s="107" t="s">
        <v>120</v>
      </c>
      <c r="H72" s="107">
        <v>242</v>
      </c>
      <c r="I72" s="304">
        <v>19</v>
      </c>
      <c r="J72" s="306">
        <v>2</v>
      </c>
      <c r="K72" s="306">
        <v>-1</v>
      </c>
    </row>
    <row r="73" spans="1:11" ht="15.75">
      <c r="A73" s="107" t="s">
        <v>121</v>
      </c>
      <c r="B73" s="303">
        <v>310</v>
      </c>
      <c r="C73" s="304">
        <v>27</v>
      </c>
      <c r="D73" s="305">
        <v>1</v>
      </c>
      <c r="E73" s="306">
        <v>1</v>
      </c>
      <c r="F73" s="107"/>
      <c r="G73" s="107" t="s">
        <v>122</v>
      </c>
      <c r="H73" s="107">
        <v>220</v>
      </c>
      <c r="I73" s="304">
        <v>19</v>
      </c>
      <c r="J73" s="306">
        <v>4</v>
      </c>
      <c r="K73" s="306">
        <v>-1</v>
      </c>
    </row>
    <row r="74" spans="1:11" ht="15.75">
      <c r="A74" s="107" t="s">
        <v>123</v>
      </c>
      <c r="B74" s="303">
        <v>218</v>
      </c>
      <c r="C74" s="304">
        <v>27</v>
      </c>
      <c r="D74" s="305">
        <v>1</v>
      </c>
      <c r="E74" s="306">
        <v>1</v>
      </c>
      <c r="F74" s="107"/>
      <c r="G74" s="107" t="s">
        <v>124</v>
      </c>
      <c r="H74" s="107">
        <v>241</v>
      </c>
      <c r="I74" s="304">
        <v>19</v>
      </c>
      <c r="J74" s="306">
        <v>4</v>
      </c>
      <c r="K74" s="306">
        <v>-1</v>
      </c>
    </row>
    <row r="75" spans="1:11" ht="15.75">
      <c r="A75" s="107" t="s">
        <v>125</v>
      </c>
      <c r="B75" s="303">
        <v>225</v>
      </c>
      <c r="C75" s="304">
        <v>27</v>
      </c>
      <c r="D75" s="305">
        <v>1</v>
      </c>
      <c r="E75" s="306">
        <v>1</v>
      </c>
      <c r="F75" s="107"/>
      <c r="G75" s="107" t="s">
        <v>126</v>
      </c>
      <c r="H75" s="107">
        <v>241</v>
      </c>
      <c r="I75" s="304">
        <v>19</v>
      </c>
      <c r="J75" s="306">
        <v>2</v>
      </c>
      <c r="K75" s="306">
        <v>-1</v>
      </c>
    </row>
    <row r="76" spans="1:11" ht="15.75">
      <c r="A76" s="107" t="s">
        <v>134</v>
      </c>
      <c r="B76" s="303">
        <v>239</v>
      </c>
      <c r="C76" s="304">
        <v>27</v>
      </c>
      <c r="D76" s="305">
        <v>1</v>
      </c>
      <c r="E76" s="306">
        <v>1</v>
      </c>
      <c r="F76" s="107"/>
      <c r="G76" s="107" t="s">
        <v>135</v>
      </c>
      <c r="H76" s="107">
        <v>180</v>
      </c>
      <c r="I76" s="304">
        <v>19</v>
      </c>
      <c r="J76" s="306">
        <v>3</v>
      </c>
      <c r="K76" s="306">
        <v>-1</v>
      </c>
    </row>
    <row r="77" spans="1:11" ht="15.75">
      <c r="A77" s="107" t="s">
        <v>136</v>
      </c>
      <c r="B77" s="303">
        <v>245</v>
      </c>
      <c r="C77" s="304">
        <v>27</v>
      </c>
      <c r="D77" s="305">
        <v>1</v>
      </c>
      <c r="E77" s="306">
        <v>1</v>
      </c>
      <c r="F77" s="107"/>
      <c r="G77" s="107" t="s">
        <v>137</v>
      </c>
      <c r="H77" s="107">
        <v>338</v>
      </c>
      <c r="I77" s="304">
        <v>49</v>
      </c>
      <c r="J77" s="306">
        <v>2</v>
      </c>
      <c r="K77" s="306">
        <v>-1</v>
      </c>
    </row>
    <row r="78" spans="1:11" ht="15.75">
      <c r="A78" s="107" t="s">
        <v>138</v>
      </c>
      <c r="B78" s="303">
        <v>199</v>
      </c>
      <c r="C78" s="304">
        <v>27</v>
      </c>
      <c r="D78" s="305">
        <v>1</v>
      </c>
      <c r="E78" s="306">
        <v>1</v>
      </c>
      <c r="F78" s="107"/>
      <c r="G78" s="107" t="s">
        <v>139</v>
      </c>
      <c r="H78" s="107">
        <v>254</v>
      </c>
      <c r="I78" s="304">
        <v>19</v>
      </c>
      <c r="J78" s="306">
        <v>5</v>
      </c>
      <c r="K78" s="306">
        <v>-1</v>
      </c>
    </row>
    <row r="79" spans="1:11" ht="15.75">
      <c r="A79" s="107" t="s">
        <v>140</v>
      </c>
      <c r="B79" s="303">
        <v>261</v>
      </c>
      <c r="C79" s="304">
        <v>27</v>
      </c>
      <c r="D79" s="305">
        <v>1</v>
      </c>
      <c r="E79" s="306">
        <v>1</v>
      </c>
      <c r="F79" s="107"/>
      <c r="G79" s="107" t="s">
        <v>141</v>
      </c>
      <c r="H79" s="107">
        <v>194</v>
      </c>
      <c r="I79" s="304">
        <v>19</v>
      </c>
      <c r="J79" s="306">
        <v>1</v>
      </c>
      <c r="K79" s="306">
        <v>-1</v>
      </c>
    </row>
    <row r="80" spans="1:11" ht="15.75">
      <c r="A80" s="107" t="s">
        <v>142</v>
      </c>
      <c r="B80" s="303">
        <v>263</v>
      </c>
      <c r="C80" s="304">
        <v>27</v>
      </c>
      <c r="D80" s="305">
        <v>1</v>
      </c>
      <c r="E80" s="306">
        <v>1</v>
      </c>
      <c r="F80" s="107"/>
      <c r="G80" s="107" t="s">
        <v>143</v>
      </c>
      <c r="H80" s="107">
        <v>311</v>
      </c>
      <c r="I80" s="304">
        <v>38</v>
      </c>
      <c r="J80" s="306">
        <v>3</v>
      </c>
      <c r="K80" s="306">
        <v>-1</v>
      </c>
    </row>
    <row r="81" spans="1:11" ht="15.75">
      <c r="A81" s="107" t="s">
        <v>144</v>
      </c>
      <c r="B81" s="303">
        <v>233</v>
      </c>
      <c r="C81" s="304">
        <v>27</v>
      </c>
      <c r="D81" s="305">
        <v>1</v>
      </c>
      <c r="E81" s="306">
        <v>1</v>
      </c>
      <c r="F81" s="107"/>
      <c r="G81" s="107" t="s">
        <v>145</v>
      </c>
      <c r="H81" s="107">
        <v>168</v>
      </c>
      <c r="I81" s="304">
        <v>19</v>
      </c>
      <c r="J81" s="306">
        <v>4</v>
      </c>
      <c r="K81" s="306">
        <v>-1</v>
      </c>
    </row>
    <row r="82" spans="1:11" ht="15.75">
      <c r="A82" s="107" t="s">
        <v>146</v>
      </c>
      <c r="B82" s="303">
        <v>201</v>
      </c>
      <c r="C82" s="304">
        <v>27</v>
      </c>
      <c r="D82" s="305">
        <v>1</v>
      </c>
      <c r="E82" s="306">
        <v>1</v>
      </c>
      <c r="F82" s="107"/>
      <c r="G82" s="107" t="s">
        <v>147</v>
      </c>
      <c r="H82" s="107">
        <v>252</v>
      </c>
      <c r="I82" s="304">
        <v>19</v>
      </c>
      <c r="J82" s="306">
        <v>1</v>
      </c>
      <c r="K82" s="306">
        <v>-1</v>
      </c>
    </row>
    <row r="83" spans="1:11" ht="15.75">
      <c r="A83" s="107" t="s">
        <v>148</v>
      </c>
      <c r="B83" s="303">
        <v>232</v>
      </c>
      <c r="C83" s="304">
        <v>27</v>
      </c>
      <c r="D83" s="305">
        <v>1</v>
      </c>
      <c r="E83" s="306">
        <v>1</v>
      </c>
      <c r="F83" s="107"/>
      <c r="G83" s="107" t="s">
        <v>149</v>
      </c>
      <c r="H83" s="107">
        <v>187</v>
      </c>
      <c r="I83" s="304">
        <v>19</v>
      </c>
      <c r="J83" s="306">
        <v>3</v>
      </c>
      <c r="K83" s="306">
        <v>-1</v>
      </c>
    </row>
    <row r="84" spans="1:11" ht="15.75">
      <c r="A84" s="107" t="s">
        <v>150</v>
      </c>
      <c r="B84" s="303">
        <v>316</v>
      </c>
      <c r="C84" s="304">
        <v>27</v>
      </c>
      <c r="D84" s="305">
        <v>1</v>
      </c>
      <c r="E84" s="306">
        <v>1</v>
      </c>
      <c r="F84" s="107"/>
      <c r="G84" s="107" t="s">
        <v>151</v>
      </c>
      <c r="H84" s="107">
        <v>200</v>
      </c>
      <c r="I84" s="304">
        <v>19</v>
      </c>
      <c r="J84" s="306">
        <v>5</v>
      </c>
      <c r="K84" s="306">
        <v>-1</v>
      </c>
    </row>
    <row r="85" spans="1:11" ht="15.75">
      <c r="A85" s="107" t="s">
        <v>152</v>
      </c>
      <c r="B85" s="303">
        <v>231</v>
      </c>
      <c r="C85" s="304">
        <v>27</v>
      </c>
      <c r="D85" s="305">
        <v>2</v>
      </c>
      <c r="E85" s="306">
        <v>1</v>
      </c>
      <c r="F85" s="107"/>
      <c r="G85" s="107" t="s">
        <v>153</v>
      </c>
      <c r="H85" s="107">
        <v>165</v>
      </c>
      <c r="I85" s="304">
        <v>19</v>
      </c>
      <c r="J85" s="306">
        <v>4</v>
      </c>
      <c r="K85" s="306">
        <v>-1</v>
      </c>
    </row>
    <row r="86" spans="1:11" ht="15.75">
      <c r="A86" s="107" t="s">
        <v>154</v>
      </c>
      <c r="B86" s="303">
        <v>178</v>
      </c>
      <c r="C86" s="304">
        <v>27</v>
      </c>
      <c r="D86" s="305">
        <v>1</v>
      </c>
      <c r="E86" s="306">
        <v>1</v>
      </c>
      <c r="F86" s="107"/>
      <c r="G86" s="107" t="s">
        <v>155</v>
      </c>
      <c r="H86" s="107">
        <v>199</v>
      </c>
      <c r="I86" s="304">
        <v>34</v>
      </c>
      <c r="J86" s="306">
        <v>2</v>
      </c>
      <c r="K86" s="306">
        <v>-1</v>
      </c>
    </row>
    <row r="87" spans="1:11" ht="15.75">
      <c r="A87" s="107" t="s">
        <v>156</v>
      </c>
      <c r="B87" s="303">
        <v>257</v>
      </c>
      <c r="C87" s="304">
        <v>27</v>
      </c>
      <c r="D87" s="305">
        <v>2</v>
      </c>
      <c r="E87" s="306">
        <v>1</v>
      </c>
      <c r="F87" s="107"/>
      <c r="G87" s="107" t="s">
        <v>157</v>
      </c>
      <c r="H87" s="107">
        <v>152</v>
      </c>
      <c r="I87" s="304">
        <v>19</v>
      </c>
      <c r="J87" s="306">
        <v>3</v>
      </c>
      <c r="K87" s="306">
        <v>-1</v>
      </c>
    </row>
    <row r="88" spans="1:11" ht="15.75">
      <c r="A88" s="107" t="s">
        <v>158</v>
      </c>
      <c r="B88" s="303">
        <v>262</v>
      </c>
      <c r="C88" s="304">
        <v>27</v>
      </c>
      <c r="D88" s="305">
        <v>3</v>
      </c>
      <c r="E88" s="306">
        <v>1</v>
      </c>
      <c r="F88" s="107"/>
      <c r="G88" s="107" t="s">
        <v>159</v>
      </c>
      <c r="H88" s="107">
        <v>252</v>
      </c>
      <c r="I88" s="304">
        <v>20</v>
      </c>
      <c r="J88" s="306">
        <v>3</v>
      </c>
      <c r="K88" s="306">
        <v>-1</v>
      </c>
    </row>
    <row r="89" spans="1:11" ht="15.75">
      <c r="A89" s="107" t="s">
        <v>160</v>
      </c>
      <c r="B89" s="303">
        <v>518</v>
      </c>
      <c r="C89" s="304">
        <v>27</v>
      </c>
      <c r="D89" s="305">
        <v>1</v>
      </c>
      <c r="E89" s="306">
        <v>1</v>
      </c>
      <c r="F89" s="107"/>
      <c r="G89" s="107" t="s">
        <v>161</v>
      </c>
      <c r="H89" s="107">
        <v>246</v>
      </c>
      <c r="I89" s="304">
        <v>38</v>
      </c>
      <c r="J89" s="306">
        <v>2</v>
      </c>
      <c r="K89" s="306">
        <v>-1</v>
      </c>
    </row>
    <row r="90" spans="1:11" ht="15.75">
      <c r="A90" s="107" t="s">
        <v>162</v>
      </c>
      <c r="B90" s="303">
        <v>220</v>
      </c>
      <c r="C90" s="304">
        <v>27</v>
      </c>
      <c r="D90" s="305">
        <v>2</v>
      </c>
      <c r="E90" s="306">
        <v>1</v>
      </c>
      <c r="F90" s="107"/>
      <c r="G90" s="107" t="s">
        <v>163</v>
      </c>
      <c r="H90" s="107">
        <v>249</v>
      </c>
      <c r="I90" s="304">
        <v>19</v>
      </c>
      <c r="J90" s="306">
        <v>4</v>
      </c>
      <c r="K90" s="306">
        <v>-1</v>
      </c>
    </row>
    <row r="91" spans="1:11" ht="15.75">
      <c r="A91" s="107" t="s">
        <v>164</v>
      </c>
      <c r="B91" s="303">
        <v>183</v>
      </c>
      <c r="C91" s="304">
        <v>27</v>
      </c>
      <c r="D91" s="305">
        <v>1</v>
      </c>
      <c r="E91" s="306">
        <v>1</v>
      </c>
      <c r="F91" s="107"/>
      <c r="G91" s="107" t="s">
        <v>165</v>
      </c>
      <c r="H91" s="107">
        <v>252</v>
      </c>
      <c r="I91" s="304">
        <v>19</v>
      </c>
      <c r="J91" s="306">
        <v>1</v>
      </c>
      <c r="K91" s="306">
        <v>-1</v>
      </c>
    </row>
    <row r="92" spans="1:11" ht="15.75">
      <c r="A92" s="107" t="s">
        <v>166</v>
      </c>
      <c r="B92" s="303">
        <v>248</v>
      </c>
      <c r="C92" s="304">
        <v>27</v>
      </c>
      <c r="D92" s="305">
        <v>1</v>
      </c>
      <c r="E92" s="306">
        <v>1</v>
      </c>
      <c r="F92" s="107"/>
      <c r="G92" s="107" t="s">
        <v>167</v>
      </c>
      <c r="H92" s="107">
        <v>242</v>
      </c>
      <c r="I92" s="304">
        <v>19</v>
      </c>
      <c r="J92" s="306">
        <v>5</v>
      </c>
      <c r="K92" s="306">
        <v>-1</v>
      </c>
    </row>
    <row r="93" spans="1:11" ht="15.75">
      <c r="A93" s="107" t="s">
        <v>168</v>
      </c>
      <c r="B93" s="303">
        <v>205</v>
      </c>
      <c r="C93" s="304">
        <v>27</v>
      </c>
      <c r="D93" s="305">
        <v>1</v>
      </c>
      <c r="E93" s="306">
        <v>1</v>
      </c>
      <c r="F93" s="107"/>
      <c r="G93" s="107" t="s">
        <v>169</v>
      </c>
      <c r="H93" s="107">
        <v>204</v>
      </c>
      <c r="I93" s="304">
        <v>19</v>
      </c>
      <c r="J93" s="306">
        <v>4</v>
      </c>
      <c r="K93" s="306">
        <v>-1</v>
      </c>
    </row>
    <row r="94" spans="1:11" ht="15.75">
      <c r="A94" s="107" t="s">
        <v>170</v>
      </c>
      <c r="B94" s="303">
        <v>207</v>
      </c>
      <c r="C94" s="304">
        <v>27</v>
      </c>
      <c r="D94" s="305">
        <v>1</v>
      </c>
      <c r="E94" s="306">
        <v>1</v>
      </c>
      <c r="F94" s="107"/>
      <c r="G94" s="107" t="s">
        <v>171</v>
      </c>
      <c r="H94" s="107">
        <v>247</v>
      </c>
      <c r="I94" s="304">
        <v>19</v>
      </c>
      <c r="J94" s="306">
        <v>1</v>
      </c>
      <c r="K94" s="306">
        <v>-1</v>
      </c>
    </row>
    <row r="95" spans="1:11" ht="15.75">
      <c r="A95" s="107" t="s">
        <v>172</v>
      </c>
      <c r="B95" s="303">
        <v>207</v>
      </c>
      <c r="C95" s="304">
        <v>27</v>
      </c>
      <c r="D95" s="305">
        <v>1</v>
      </c>
      <c r="E95" s="306">
        <v>1</v>
      </c>
      <c r="F95" s="107"/>
      <c r="G95" s="107" t="s">
        <v>173</v>
      </c>
      <c r="H95" s="107">
        <v>239</v>
      </c>
      <c r="I95" s="304">
        <v>19</v>
      </c>
      <c r="J95" s="306">
        <v>1</v>
      </c>
      <c r="K95" s="306">
        <v>-1</v>
      </c>
    </row>
    <row r="96" spans="1:11" ht="15.75">
      <c r="A96" s="107" t="s">
        <v>174</v>
      </c>
      <c r="B96" s="303">
        <v>204</v>
      </c>
      <c r="C96" s="304">
        <v>27</v>
      </c>
      <c r="D96" s="305">
        <v>1</v>
      </c>
      <c r="E96" s="306">
        <v>1</v>
      </c>
      <c r="F96" s="107"/>
      <c r="G96" s="107" t="s">
        <v>175</v>
      </c>
      <c r="H96" s="107">
        <v>240</v>
      </c>
      <c r="I96" s="304">
        <v>19</v>
      </c>
      <c r="J96" s="306">
        <v>4</v>
      </c>
      <c r="K96" s="306">
        <v>-1</v>
      </c>
    </row>
    <row r="97" spans="1:11" ht="15.75">
      <c r="A97" s="107" t="s">
        <v>176</v>
      </c>
      <c r="B97" s="303">
        <v>185</v>
      </c>
      <c r="C97" s="304">
        <v>27</v>
      </c>
      <c r="D97" s="305">
        <v>5</v>
      </c>
      <c r="E97" s="306">
        <v>1</v>
      </c>
      <c r="F97" s="107"/>
      <c r="G97" s="77" t="s">
        <v>177</v>
      </c>
      <c r="H97" s="303">
        <v>245</v>
      </c>
      <c r="I97" s="304">
        <v>38</v>
      </c>
      <c r="J97" s="305">
        <v>1</v>
      </c>
      <c r="K97" s="306">
        <v>-1</v>
      </c>
    </row>
    <row r="98" spans="1:11" ht="15.75">
      <c r="A98" s="107" t="s">
        <v>178</v>
      </c>
      <c r="B98" s="303">
        <v>253</v>
      </c>
      <c r="C98" s="304">
        <v>27</v>
      </c>
      <c r="D98" s="305">
        <v>1</v>
      </c>
      <c r="E98" s="306">
        <v>3</v>
      </c>
      <c r="F98" s="107"/>
      <c r="G98" s="107" t="s">
        <v>179</v>
      </c>
      <c r="H98" s="107">
        <v>227</v>
      </c>
      <c r="I98" s="304">
        <v>19</v>
      </c>
      <c r="J98" s="306">
        <v>5</v>
      </c>
      <c r="K98" s="306">
        <v>-1</v>
      </c>
    </row>
    <row r="99" spans="1:11" ht="15.75">
      <c r="A99" s="107" t="s">
        <v>180</v>
      </c>
      <c r="B99" s="303">
        <v>245</v>
      </c>
      <c r="C99" s="304">
        <v>27</v>
      </c>
      <c r="D99" s="305">
        <v>1</v>
      </c>
      <c r="E99" s="306">
        <v>1</v>
      </c>
      <c r="F99" s="107"/>
      <c r="G99" s="107" t="s">
        <v>181</v>
      </c>
      <c r="H99" s="107">
        <v>242</v>
      </c>
      <c r="I99" s="304">
        <v>19</v>
      </c>
      <c r="J99" s="306">
        <v>3</v>
      </c>
      <c r="K99" s="306">
        <v>-1</v>
      </c>
    </row>
    <row r="100" spans="1:11" ht="15.75">
      <c r="A100" s="107" t="s">
        <v>182</v>
      </c>
      <c r="B100" s="303">
        <v>163</v>
      </c>
      <c r="C100" s="304">
        <v>27</v>
      </c>
      <c r="D100" s="305">
        <v>1</v>
      </c>
      <c r="E100" s="306">
        <v>1</v>
      </c>
      <c r="F100" s="107"/>
      <c r="G100" s="107" t="s">
        <v>183</v>
      </c>
      <c r="H100" s="107">
        <v>305</v>
      </c>
      <c r="I100" s="304">
        <v>19</v>
      </c>
      <c r="J100" s="306">
        <v>1</v>
      </c>
      <c r="K100" s="306">
        <v>-1</v>
      </c>
    </row>
    <row r="101" spans="1:11" ht="15.75">
      <c r="A101" s="107" t="s">
        <v>184</v>
      </c>
      <c r="B101" s="303">
        <v>260</v>
      </c>
      <c r="C101" s="304">
        <v>27</v>
      </c>
      <c r="D101" s="305">
        <v>2</v>
      </c>
      <c r="E101" s="306">
        <v>1</v>
      </c>
      <c r="F101" s="107"/>
      <c r="G101" s="107" t="s">
        <v>185</v>
      </c>
      <c r="H101" s="107">
        <v>320</v>
      </c>
      <c r="I101" s="304">
        <v>19</v>
      </c>
      <c r="J101" s="306">
        <v>1</v>
      </c>
      <c r="K101" s="306">
        <v>-1</v>
      </c>
    </row>
    <row r="102" spans="1:11" ht="15.75">
      <c r="A102" s="107" t="s">
        <v>186</v>
      </c>
      <c r="B102" s="303">
        <v>182</v>
      </c>
      <c r="C102" s="304">
        <v>27</v>
      </c>
      <c r="D102" s="305">
        <v>1</v>
      </c>
      <c r="E102" s="306">
        <v>1</v>
      </c>
      <c r="F102" s="107"/>
      <c r="G102" s="107" t="s">
        <v>187</v>
      </c>
      <c r="H102" s="107">
        <v>252</v>
      </c>
      <c r="I102" s="304">
        <v>19</v>
      </c>
      <c r="J102" s="306">
        <v>5</v>
      </c>
      <c r="K102" s="306">
        <v>-1</v>
      </c>
    </row>
    <row r="103" spans="1:11" ht="15.75">
      <c r="A103" s="107" t="s">
        <v>188</v>
      </c>
      <c r="B103" s="303">
        <v>192</v>
      </c>
      <c r="C103" s="304">
        <v>27</v>
      </c>
      <c r="D103" s="305">
        <v>6</v>
      </c>
      <c r="E103" s="306">
        <v>1</v>
      </c>
      <c r="F103" s="107"/>
      <c r="G103" s="107" t="s">
        <v>189</v>
      </c>
      <c r="H103" s="107">
        <v>205</v>
      </c>
      <c r="I103" s="304">
        <v>19</v>
      </c>
      <c r="J103" s="306">
        <v>1</v>
      </c>
      <c r="K103" s="306">
        <v>-1</v>
      </c>
    </row>
    <row r="104" spans="1:11" ht="15.75">
      <c r="A104" s="307" t="s">
        <v>190</v>
      </c>
      <c r="B104" s="303">
        <v>258</v>
      </c>
      <c r="C104" s="304">
        <v>38</v>
      </c>
      <c r="D104" s="305">
        <v>2</v>
      </c>
      <c r="E104" s="306">
        <v>-1</v>
      </c>
      <c r="F104" s="107"/>
      <c r="G104" s="107" t="s">
        <v>191</v>
      </c>
      <c r="H104" s="107">
        <v>312</v>
      </c>
      <c r="I104" s="304">
        <v>38</v>
      </c>
      <c r="J104" s="306">
        <v>4</v>
      </c>
      <c r="K104" s="306">
        <v>-1</v>
      </c>
    </row>
    <row r="105" spans="1:11" ht="15.75">
      <c r="A105" s="107" t="s">
        <v>192</v>
      </c>
      <c r="B105" s="303">
        <v>179</v>
      </c>
      <c r="C105" s="304">
        <v>27</v>
      </c>
      <c r="D105" s="305">
        <v>3</v>
      </c>
      <c r="E105" s="306">
        <v>1</v>
      </c>
      <c r="F105" s="107"/>
      <c r="G105" s="107" t="s">
        <v>193</v>
      </c>
      <c r="H105" s="107">
        <v>374</v>
      </c>
      <c r="I105" s="304">
        <v>38</v>
      </c>
      <c r="J105" s="306">
        <v>3</v>
      </c>
      <c r="K105" s="306">
        <v>-1</v>
      </c>
    </row>
    <row r="106" spans="1:11" ht="15.75">
      <c r="A106" s="107" t="s">
        <v>194</v>
      </c>
      <c r="B106" s="303">
        <v>238</v>
      </c>
      <c r="C106" s="304">
        <v>27</v>
      </c>
      <c r="D106" s="305">
        <v>2</v>
      </c>
      <c r="E106" s="306">
        <v>1</v>
      </c>
      <c r="F106" s="107"/>
      <c r="G106" s="107" t="s">
        <v>195</v>
      </c>
      <c r="H106" s="107">
        <v>230</v>
      </c>
      <c r="I106" s="304">
        <v>19</v>
      </c>
      <c r="J106" s="306">
        <v>1</v>
      </c>
      <c r="K106" s="306">
        <v>-1</v>
      </c>
    </row>
    <row r="107" spans="1:11" ht="15.75">
      <c r="A107" s="107" t="s">
        <v>196</v>
      </c>
      <c r="B107" s="303">
        <v>196</v>
      </c>
      <c r="C107" s="304">
        <v>27</v>
      </c>
      <c r="D107" s="305">
        <v>1</v>
      </c>
      <c r="E107" s="306">
        <v>1</v>
      </c>
      <c r="F107" s="107"/>
      <c r="G107" s="107" t="s">
        <v>197</v>
      </c>
      <c r="H107" s="107">
        <v>195</v>
      </c>
      <c r="I107" s="304">
        <v>19</v>
      </c>
      <c r="J107" s="306">
        <v>2</v>
      </c>
      <c r="K107" s="306">
        <v>-1</v>
      </c>
    </row>
    <row r="108" spans="1:11" ht="15.75">
      <c r="A108" s="107" t="s">
        <v>198</v>
      </c>
      <c r="B108" s="303">
        <v>157</v>
      </c>
      <c r="C108" s="304">
        <v>27</v>
      </c>
      <c r="D108" s="305">
        <v>1</v>
      </c>
      <c r="E108" s="306">
        <v>1</v>
      </c>
      <c r="F108" s="107"/>
      <c r="G108" s="107" t="s">
        <v>199</v>
      </c>
      <c r="H108" s="107">
        <v>191</v>
      </c>
      <c r="I108" s="304">
        <v>19</v>
      </c>
      <c r="J108" s="306">
        <v>5</v>
      </c>
      <c r="K108" s="306">
        <v>-1</v>
      </c>
    </row>
    <row r="109" spans="1:11" ht="15.75">
      <c r="A109" s="107" t="s">
        <v>200</v>
      </c>
      <c r="B109" s="303">
        <v>294</v>
      </c>
      <c r="C109" s="304">
        <v>27</v>
      </c>
      <c r="D109" s="305">
        <v>1</v>
      </c>
      <c r="E109" s="306">
        <v>1</v>
      </c>
      <c r="F109" s="107"/>
      <c r="G109" s="107" t="s">
        <v>201</v>
      </c>
      <c r="H109" s="107">
        <v>214</v>
      </c>
      <c r="I109" s="304">
        <v>19</v>
      </c>
      <c r="J109" s="306">
        <v>3</v>
      </c>
      <c r="K109" s="306">
        <v>-1</v>
      </c>
    </row>
    <row r="110" spans="1:11" ht="15.75">
      <c r="A110" s="107" t="s">
        <v>202</v>
      </c>
      <c r="B110" s="303">
        <v>198</v>
      </c>
      <c r="C110" s="304">
        <v>27</v>
      </c>
      <c r="D110" s="305">
        <v>2</v>
      </c>
      <c r="E110" s="306">
        <v>1</v>
      </c>
      <c r="F110" s="107"/>
      <c r="G110" s="107" t="s">
        <v>203</v>
      </c>
      <c r="H110" s="107">
        <v>290</v>
      </c>
      <c r="I110" s="304">
        <v>38</v>
      </c>
      <c r="J110" s="306">
        <v>1</v>
      </c>
      <c r="K110" s="306">
        <v>-1</v>
      </c>
    </row>
    <row r="111" spans="1:11" ht="15.75">
      <c r="A111" s="107" t="s">
        <v>204</v>
      </c>
      <c r="B111" s="303">
        <v>210</v>
      </c>
      <c r="C111" s="304">
        <v>27</v>
      </c>
      <c r="D111" s="305">
        <v>1</v>
      </c>
      <c r="E111" s="306">
        <v>1</v>
      </c>
      <c r="F111" s="107"/>
      <c r="G111" s="107" t="s">
        <v>205</v>
      </c>
      <c r="H111" s="107">
        <v>231</v>
      </c>
      <c r="I111" s="304">
        <v>38</v>
      </c>
      <c r="J111" s="306">
        <v>1</v>
      </c>
      <c r="K111" s="306">
        <v>-1</v>
      </c>
    </row>
    <row r="112" spans="1:11" ht="15.75">
      <c r="A112" s="107" t="s">
        <v>206</v>
      </c>
      <c r="B112" s="303">
        <v>172</v>
      </c>
      <c r="C112" s="304">
        <v>27</v>
      </c>
      <c r="D112" s="305">
        <v>4</v>
      </c>
      <c r="E112" s="306">
        <v>1</v>
      </c>
      <c r="F112" s="107"/>
      <c r="G112" s="107" t="s">
        <v>207</v>
      </c>
      <c r="H112" s="107">
        <v>252</v>
      </c>
      <c r="I112" s="304">
        <v>38</v>
      </c>
      <c r="J112" s="306">
        <v>1</v>
      </c>
      <c r="K112" s="306">
        <v>-1</v>
      </c>
    </row>
    <row r="113" spans="1:11" ht="15.75">
      <c r="A113" s="107" t="s">
        <v>208</v>
      </c>
      <c r="B113" s="303">
        <v>275</v>
      </c>
      <c r="C113" s="304">
        <v>27</v>
      </c>
      <c r="D113" s="305">
        <v>1</v>
      </c>
      <c r="E113" s="306">
        <v>2</v>
      </c>
      <c r="F113" s="107"/>
      <c r="G113" s="107" t="s">
        <v>209</v>
      </c>
      <c r="H113" s="107">
        <v>351</v>
      </c>
      <c r="I113" s="304">
        <v>49</v>
      </c>
      <c r="J113" s="306">
        <v>3</v>
      </c>
      <c r="K113" s="306">
        <v>-1</v>
      </c>
    </row>
    <row r="114" spans="1:11" ht="15.75">
      <c r="A114" s="107" t="s">
        <v>210</v>
      </c>
      <c r="B114" s="303">
        <v>210</v>
      </c>
      <c r="C114" s="304">
        <v>27</v>
      </c>
      <c r="D114" s="305">
        <v>1</v>
      </c>
      <c r="E114" s="306">
        <v>1</v>
      </c>
      <c r="F114" s="107"/>
      <c r="G114" s="107" t="s">
        <v>211</v>
      </c>
      <c r="H114" s="107">
        <v>352</v>
      </c>
      <c r="I114" s="304">
        <v>19</v>
      </c>
      <c r="J114" s="306">
        <v>1</v>
      </c>
      <c r="K114" s="306">
        <v>-1</v>
      </c>
    </row>
    <row r="115" spans="1:11" ht="15.75">
      <c r="A115" s="107" t="s">
        <v>212</v>
      </c>
      <c r="B115" s="303">
        <v>158</v>
      </c>
      <c r="C115" s="304">
        <v>27</v>
      </c>
      <c r="D115" s="305">
        <v>1</v>
      </c>
      <c r="E115" s="306">
        <v>1</v>
      </c>
      <c r="F115" s="107"/>
      <c r="G115" s="107" t="s">
        <v>213</v>
      </c>
      <c r="H115" s="107">
        <v>250</v>
      </c>
      <c r="I115" s="304">
        <v>19</v>
      </c>
      <c r="J115" s="306">
        <v>4</v>
      </c>
      <c r="K115" s="306">
        <v>-1</v>
      </c>
    </row>
    <row r="116" spans="1:11" ht="15.75">
      <c r="A116" s="107" t="s">
        <v>214</v>
      </c>
      <c r="B116" s="303">
        <v>225</v>
      </c>
      <c r="C116" s="304">
        <v>27</v>
      </c>
      <c r="D116" s="305">
        <v>1</v>
      </c>
      <c r="E116" s="306">
        <v>1</v>
      </c>
      <c r="F116" s="107"/>
      <c r="G116" s="107" t="s">
        <v>215</v>
      </c>
      <c r="H116" s="107">
        <v>192</v>
      </c>
      <c r="I116" s="304">
        <v>19</v>
      </c>
      <c r="J116" s="306">
        <v>1</v>
      </c>
      <c r="K116" s="306">
        <v>-1</v>
      </c>
    </row>
    <row r="117" spans="1:11" ht="15.75">
      <c r="A117" s="107" t="s">
        <v>216</v>
      </c>
      <c r="B117" s="303">
        <v>209</v>
      </c>
      <c r="C117" s="304">
        <v>27</v>
      </c>
      <c r="D117" s="305">
        <v>1</v>
      </c>
      <c r="E117" s="306">
        <v>1</v>
      </c>
      <c r="F117" s="107"/>
      <c r="G117" s="107" t="s">
        <v>217</v>
      </c>
      <c r="H117" s="107">
        <v>301</v>
      </c>
      <c r="I117" s="304">
        <v>19</v>
      </c>
      <c r="J117" s="306">
        <v>3</v>
      </c>
      <c r="K117" s="306">
        <v>-1</v>
      </c>
    </row>
    <row r="118" spans="1:11" ht="15.75">
      <c r="A118" s="107" t="s">
        <v>218</v>
      </c>
      <c r="B118" s="303">
        <v>251</v>
      </c>
      <c r="C118" s="304">
        <v>27</v>
      </c>
      <c r="D118" s="305">
        <v>1</v>
      </c>
      <c r="E118" s="306">
        <v>1</v>
      </c>
      <c r="F118" s="107"/>
      <c r="G118" s="107" t="s">
        <v>219</v>
      </c>
      <c r="H118" s="107">
        <v>235</v>
      </c>
      <c r="I118" s="304">
        <v>19</v>
      </c>
      <c r="J118" s="306">
        <v>2</v>
      </c>
      <c r="K118" s="306">
        <v>-1</v>
      </c>
    </row>
    <row r="119" spans="1:11" ht="15.75">
      <c r="A119" s="107" t="s">
        <v>220</v>
      </c>
      <c r="B119" s="303">
        <v>327</v>
      </c>
      <c r="C119" s="304">
        <v>27</v>
      </c>
      <c r="D119" s="305">
        <v>1</v>
      </c>
      <c r="E119" s="306">
        <v>1</v>
      </c>
      <c r="F119" s="107"/>
      <c r="G119" s="107" t="s">
        <v>221</v>
      </c>
      <c r="H119" s="107">
        <v>201</v>
      </c>
      <c r="I119" s="304">
        <v>19</v>
      </c>
      <c r="J119" s="306">
        <v>4</v>
      </c>
      <c r="K119" s="306">
        <v>-1</v>
      </c>
    </row>
    <row r="120" spans="1:11" ht="15.75">
      <c r="A120" s="107" t="s">
        <v>222</v>
      </c>
      <c r="B120" s="303">
        <v>264</v>
      </c>
      <c r="C120" s="304">
        <v>27</v>
      </c>
      <c r="D120" s="305">
        <v>1</v>
      </c>
      <c r="E120" s="306">
        <v>1</v>
      </c>
      <c r="F120" s="107"/>
      <c r="G120" s="107" t="s">
        <v>223</v>
      </c>
      <c r="H120" s="107">
        <v>337</v>
      </c>
      <c r="I120" s="304">
        <v>19</v>
      </c>
      <c r="J120" s="306">
        <v>1</v>
      </c>
      <c r="K120" s="306">
        <v>-1</v>
      </c>
    </row>
    <row r="121" spans="1:11" ht="15.75">
      <c r="A121" s="107" t="s">
        <v>224</v>
      </c>
      <c r="B121" s="303">
        <v>226</v>
      </c>
      <c r="C121" s="304">
        <v>27</v>
      </c>
      <c r="D121" s="305">
        <v>1</v>
      </c>
      <c r="E121" s="306">
        <v>1</v>
      </c>
      <c r="F121" s="107"/>
      <c r="G121" s="107" t="s">
        <v>225</v>
      </c>
      <c r="H121" s="107">
        <v>246</v>
      </c>
      <c r="I121" s="304">
        <v>19</v>
      </c>
      <c r="J121" s="306">
        <v>3</v>
      </c>
      <c r="K121" s="306">
        <v>-1</v>
      </c>
    </row>
    <row r="122" spans="1:11" ht="15.75">
      <c r="A122" s="107" t="s">
        <v>226</v>
      </c>
      <c r="B122" s="303">
        <v>407</v>
      </c>
      <c r="C122" s="304">
        <v>27</v>
      </c>
      <c r="D122" s="305">
        <v>1</v>
      </c>
      <c r="E122" s="306">
        <v>1</v>
      </c>
      <c r="F122" s="107"/>
      <c r="G122" s="107" t="s">
        <v>227</v>
      </c>
      <c r="H122" s="107">
        <v>241</v>
      </c>
      <c r="I122" s="304">
        <v>19</v>
      </c>
      <c r="J122" s="306">
        <v>1</v>
      </c>
      <c r="K122" s="306">
        <v>-1</v>
      </c>
    </row>
    <row r="123" spans="1:11" ht="15.75">
      <c r="A123" s="107" t="s">
        <v>228</v>
      </c>
      <c r="B123" s="303">
        <v>235</v>
      </c>
      <c r="C123" s="304">
        <v>27</v>
      </c>
      <c r="D123" s="305">
        <v>2</v>
      </c>
      <c r="E123" s="306">
        <v>1</v>
      </c>
      <c r="F123" s="107"/>
      <c r="G123" s="107" t="s">
        <v>229</v>
      </c>
      <c r="H123" s="107">
        <v>255</v>
      </c>
      <c r="I123" s="304">
        <v>19</v>
      </c>
      <c r="J123" s="306">
        <v>1</v>
      </c>
      <c r="K123" s="306">
        <v>-2</v>
      </c>
    </row>
    <row r="124" spans="1:11" ht="15.75">
      <c r="A124" s="107" t="s">
        <v>230</v>
      </c>
      <c r="B124" s="303">
        <v>282</v>
      </c>
      <c r="C124" s="304">
        <v>27</v>
      </c>
      <c r="D124" s="305">
        <v>1</v>
      </c>
      <c r="E124" s="306">
        <v>1</v>
      </c>
      <c r="F124" s="107"/>
      <c r="G124" s="107" t="s">
        <v>231</v>
      </c>
      <c r="H124" s="107">
        <v>392</v>
      </c>
      <c r="I124" s="304">
        <v>55</v>
      </c>
      <c r="J124" s="306">
        <v>1</v>
      </c>
      <c r="K124" s="306">
        <v>-2</v>
      </c>
    </row>
    <row r="125" spans="1:11" ht="15.75">
      <c r="A125" s="107" t="s">
        <v>232</v>
      </c>
      <c r="B125" s="303">
        <v>216</v>
      </c>
      <c r="C125" s="304">
        <v>27</v>
      </c>
      <c r="D125" s="305">
        <v>8</v>
      </c>
      <c r="E125" s="306">
        <v>1</v>
      </c>
      <c r="F125" s="107"/>
      <c r="G125" s="107" t="s">
        <v>233</v>
      </c>
      <c r="H125" s="107">
        <v>501</v>
      </c>
      <c r="I125" s="304">
        <v>73</v>
      </c>
      <c r="J125" s="306">
        <v>1</v>
      </c>
      <c r="K125" s="306">
        <v>-2</v>
      </c>
    </row>
    <row r="126" spans="1:11" ht="15.75">
      <c r="A126" s="107" t="s">
        <v>234</v>
      </c>
      <c r="B126" s="303">
        <v>243</v>
      </c>
      <c r="C126" s="304">
        <v>27</v>
      </c>
      <c r="D126" s="305">
        <v>3</v>
      </c>
      <c r="E126" s="306">
        <v>1</v>
      </c>
      <c r="F126" s="107"/>
      <c r="G126" s="107" t="s">
        <v>235</v>
      </c>
      <c r="H126" s="107">
        <v>352</v>
      </c>
      <c r="I126" s="304">
        <v>19</v>
      </c>
      <c r="J126" s="306">
        <v>1</v>
      </c>
      <c r="K126" s="306">
        <v>-2</v>
      </c>
    </row>
    <row r="127" spans="1:11" ht="15.75">
      <c r="A127" s="107" t="s">
        <v>236</v>
      </c>
      <c r="B127" s="303">
        <v>266</v>
      </c>
      <c r="C127" s="304">
        <v>27</v>
      </c>
      <c r="D127" s="305">
        <v>1</v>
      </c>
      <c r="E127" s="306">
        <v>1</v>
      </c>
      <c r="F127" s="107"/>
      <c r="G127" s="107" t="s">
        <v>237</v>
      </c>
      <c r="H127" s="107">
        <v>249</v>
      </c>
      <c r="I127" s="304">
        <v>19</v>
      </c>
      <c r="J127" s="306">
        <v>1</v>
      </c>
      <c r="K127" s="306">
        <v>-2</v>
      </c>
    </row>
    <row r="128" spans="1:11" ht="15.75">
      <c r="A128" s="107" t="s">
        <v>238</v>
      </c>
      <c r="B128" s="303">
        <v>221</v>
      </c>
      <c r="C128" s="304">
        <v>27</v>
      </c>
      <c r="D128" s="305">
        <v>1</v>
      </c>
      <c r="E128" s="306">
        <v>1</v>
      </c>
      <c r="F128" s="107"/>
      <c r="G128" s="107" t="s">
        <v>239</v>
      </c>
      <c r="H128" s="107">
        <v>189</v>
      </c>
      <c r="I128" s="304">
        <v>19</v>
      </c>
      <c r="J128" s="306">
        <v>3</v>
      </c>
      <c r="K128" s="306">
        <v>-2</v>
      </c>
    </row>
    <row r="129" spans="1:11" ht="15.75">
      <c r="A129" s="107" t="s">
        <v>240</v>
      </c>
      <c r="B129" s="303">
        <v>174</v>
      </c>
      <c r="C129" s="304">
        <v>27</v>
      </c>
      <c r="D129" s="305">
        <v>1</v>
      </c>
      <c r="E129" s="306">
        <v>1</v>
      </c>
      <c r="F129" s="107"/>
      <c r="G129" s="107" t="s">
        <v>241</v>
      </c>
      <c r="H129" s="107">
        <v>306</v>
      </c>
      <c r="I129" s="304">
        <v>19</v>
      </c>
      <c r="J129" s="306">
        <v>1</v>
      </c>
      <c r="K129" s="306">
        <v>-2</v>
      </c>
    </row>
    <row r="130" spans="1:11" ht="15.75">
      <c r="A130" s="107" t="s">
        <v>242</v>
      </c>
      <c r="B130" s="303">
        <v>183</v>
      </c>
      <c r="C130" s="304">
        <v>27</v>
      </c>
      <c r="D130" s="305">
        <v>2</v>
      </c>
      <c r="E130" s="306">
        <v>1</v>
      </c>
      <c r="F130" s="107"/>
      <c r="G130" s="107" t="s">
        <v>243</v>
      </c>
      <c r="H130" s="107">
        <v>209</v>
      </c>
      <c r="I130" s="304">
        <v>19</v>
      </c>
      <c r="J130" s="306">
        <v>2</v>
      </c>
      <c r="K130" s="306">
        <v>-2</v>
      </c>
    </row>
    <row r="131" spans="1:11" ht="15.75">
      <c r="A131" s="107" t="s">
        <v>244</v>
      </c>
      <c r="B131" s="303">
        <v>186</v>
      </c>
      <c r="C131" s="304">
        <v>27</v>
      </c>
      <c r="D131" s="305">
        <v>3</v>
      </c>
      <c r="E131" s="306">
        <v>1</v>
      </c>
      <c r="F131" s="107"/>
      <c r="G131" s="107" t="s">
        <v>245</v>
      </c>
      <c r="H131" s="107">
        <v>256</v>
      </c>
      <c r="I131" s="304">
        <v>19</v>
      </c>
      <c r="J131" s="306">
        <v>1</v>
      </c>
      <c r="K131" s="306">
        <v>-2</v>
      </c>
    </row>
    <row r="132" spans="1:11" ht="15.75">
      <c r="A132" s="107" t="s">
        <v>246</v>
      </c>
      <c r="B132" s="303">
        <v>186</v>
      </c>
      <c r="C132" s="304">
        <v>27</v>
      </c>
      <c r="D132" s="305">
        <v>1</v>
      </c>
      <c r="E132" s="306">
        <v>1</v>
      </c>
      <c r="F132" s="107"/>
      <c r="G132" s="107" t="s">
        <v>247</v>
      </c>
      <c r="H132" s="107">
        <v>292</v>
      </c>
      <c r="I132" s="304">
        <v>19</v>
      </c>
      <c r="J132" s="306">
        <v>2</v>
      </c>
      <c r="K132" s="306">
        <v>-2</v>
      </c>
    </row>
    <row r="133" spans="1:11" ht="15.75">
      <c r="A133" s="107" t="s">
        <v>248</v>
      </c>
      <c r="B133" s="303">
        <v>263</v>
      </c>
      <c r="C133" s="304">
        <v>35</v>
      </c>
      <c r="D133" s="305">
        <v>1</v>
      </c>
      <c r="E133" s="306">
        <v>2</v>
      </c>
      <c r="F133" s="107"/>
      <c r="G133" s="107" t="s">
        <v>249</v>
      </c>
      <c r="H133" s="107">
        <v>253</v>
      </c>
      <c r="I133" s="304">
        <v>19</v>
      </c>
      <c r="J133" s="306">
        <v>3</v>
      </c>
      <c r="K133" s="306">
        <v>-2</v>
      </c>
    </row>
    <row r="134" spans="1:11" ht="15.75">
      <c r="A134" s="107" t="s">
        <v>250</v>
      </c>
      <c r="B134" s="303">
        <v>260</v>
      </c>
      <c r="C134" s="304">
        <v>35</v>
      </c>
      <c r="D134" s="305">
        <v>1</v>
      </c>
      <c r="E134" s="306">
        <v>2</v>
      </c>
      <c r="F134" s="107"/>
      <c r="G134" s="107" t="s">
        <v>251</v>
      </c>
      <c r="H134" s="107">
        <v>229</v>
      </c>
      <c r="I134" s="304">
        <v>19</v>
      </c>
      <c r="J134" s="306">
        <v>5</v>
      </c>
      <c r="K134" s="306">
        <v>-2</v>
      </c>
    </row>
    <row r="135" spans="1:11" ht="15.75">
      <c r="A135" s="107" t="s">
        <v>252</v>
      </c>
      <c r="B135" s="303">
        <v>207</v>
      </c>
      <c r="C135" s="304">
        <v>35</v>
      </c>
      <c r="D135" s="305">
        <v>2</v>
      </c>
      <c r="E135" s="306">
        <v>2</v>
      </c>
      <c r="F135" s="107"/>
      <c r="G135" s="107" t="s">
        <v>253</v>
      </c>
      <c r="H135" s="107">
        <v>304</v>
      </c>
      <c r="I135" s="304">
        <v>19</v>
      </c>
      <c r="J135" s="306">
        <v>1</v>
      </c>
      <c r="K135" s="306">
        <v>-2</v>
      </c>
    </row>
    <row r="136" spans="1:11" ht="15.75">
      <c r="A136" s="107" t="s">
        <v>254</v>
      </c>
      <c r="B136" s="303">
        <v>234</v>
      </c>
      <c r="C136" s="304">
        <v>35</v>
      </c>
      <c r="D136" s="305">
        <v>1</v>
      </c>
      <c r="E136" s="306">
        <v>2</v>
      </c>
      <c r="F136" s="107"/>
      <c r="G136" s="107" t="s">
        <v>255</v>
      </c>
      <c r="H136" s="107">
        <v>213</v>
      </c>
      <c r="I136" s="304">
        <v>19</v>
      </c>
      <c r="J136" s="306">
        <v>3</v>
      </c>
      <c r="K136" s="306">
        <v>-2</v>
      </c>
    </row>
    <row r="137" spans="1:11" ht="15.75">
      <c r="A137" s="107" t="s">
        <v>256</v>
      </c>
      <c r="B137" s="303">
        <v>292</v>
      </c>
      <c r="C137" s="304">
        <v>35</v>
      </c>
      <c r="D137" s="305">
        <v>1</v>
      </c>
      <c r="E137" s="306">
        <v>2</v>
      </c>
      <c r="F137" s="107"/>
      <c r="G137" s="107" t="s">
        <v>257</v>
      </c>
      <c r="H137" s="107">
        <v>335</v>
      </c>
      <c r="I137" s="304">
        <v>19</v>
      </c>
      <c r="J137" s="306">
        <v>1</v>
      </c>
      <c r="K137" s="306">
        <v>-2</v>
      </c>
    </row>
    <row r="138" spans="1:11" ht="15.75">
      <c r="A138" s="107" t="s">
        <v>258</v>
      </c>
      <c r="B138" s="303">
        <v>230</v>
      </c>
      <c r="C138" s="304">
        <v>35</v>
      </c>
      <c r="D138" s="305">
        <v>1</v>
      </c>
      <c r="E138" s="306">
        <v>2</v>
      </c>
      <c r="F138" s="107"/>
      <c r="G138" s="107" t="s">
        <v>259</v>
      </c>
      <c r="H138" s="107">
        <v>244</v>
      </c>
      <c r="I138" s="304">
        <v>19</v>
      </c>
      <c r="J138" s="306">
        <v>3</v>
      </c>
      <c r="K138" s="306">
        <v>-2</v>
      </c>
    </row>
    <row r="139" spans="1:11" ht="15.75">
      <c r="A139" s="107" t="s">
        <v>260</v>
      </c>
      <c r="B139" s="303">
        <v>231</v>
      </c>
      <c r="C139" s="304">
        <v>35</v>
      </c>
      <c r="D139" s="305">
        <v>1</v>
      </c>
      <c r="E139" s="306">
        <v>2</v>
      </c>
      <c r="F139" s="107"/>
      <c r="G139" s="107" t="s">
        <v>261</v>
      </c>
      <c r="H139" s="107">
        <v>248</v>
      </c>
      <c r="I139" s="304">
        <v>19</v>
      </c>
      <c r="J139" s="306">
        <v>3</v>
      </c>
      <c r="K139" s="306">
        <v>-2</v>
      </c>
    </row>
    <row r="140" spans="1:11" ht="15.75">
      <c r="A140" s="107" t="s">
        <v>262</v>
      </c>
      <c r="B140" s="303">
        <v>184</v>
      </c>
      <c r="C140" s="304">
        <v>35</v>
      </c>
      <c r="D140" s="305">
        <v>3</v>
      </c>
      <c r="E140" s="306">
        <v>2</v>
      </c>
      <c r="F140" s="107"/>
      <c r="G140" s="107" t="s">
        <v>263</v>
      </c>
      <c r="H140" s="107">
        <v>377</v>
      </c>
      <c r="I140" s="304">
        <v>19</v>
      </c>
      <c r="J140" s="306">
        <v>1</v>
      </c>
      <c r="K140" s="306">
        <v>-2</v>
      </c>
    </row>
    <row r="141" spans="1:11" ht="15.75">
      <c r="A141" s="107" t="s">
        <v>264</v>
      </c>
      <c r="B141" s="303">
        <v>220</v>
      </c>
      <c r="C141" s="304">
        <v>35</v>
      </c>
      <c r="D141" s="305">
        <v>1</v>
      </c>
      <c r="E141" s="306">
        <v>2</v>
      </c>
      <c r="F141" s="107"/>
      <c r="G141" s="107" t="s">
        <v>265</v>
      </c>
      <c r="H141" s="107">
        <v>332</v>
      </c>
      <c r="I141" s="304">
        <v>19</v>
      </c>
      <c r="J141" s="306">
        <v>1</v>
      </c>
      <c r="K141" s="306">
        <v>-2</v>
      </c>
    </row>
    <row r="142" spans="1:11" ht="15.75">
      <c r="A142" s="107" t="s">
        <v>266</v>
      </c>
      <c r="B142" s="303">
        <v>326</v>
      </c>
      <c r="C142" s="304">
        <v>35</v>
      </c>
      <c r="D142" s="305">
        <v>1</v>
      </c>
      <c r="E142" s="306">
        <v>2</v>
      </c>
      <c r="F142" s="107"/>
      <c r="G142" s="107" t="s">
        <v>267</v>
      </c>
      <c r="H142" s="107">
        <v>314</v>
      </c>
      <c r="I142" s="304">
        <v>31</v>
      </c>
      <c r="J142" s="306">
        <v>3</v>
      </c>
      <c r="K142" s="306">
        <v>-2</v>
      </c>
    </row>
    <row r="143" spans="1:11" ht="15.75">
      <c r="A143" s="107" t="s">
        <v>268</v>
      </c>
      <c r="B143" s="303">
        <v>186</v>
      </c>
      <c r="C143" s="304">
        <v>35</v>
      </c>
      <c r="D143" s="305">
        <v>5</v>
      </c>
      <c r="E143" s="306">
        <v>2</v>
      </c>
      <c r="F143" s="107"/>
      <c r="G143" s="107" t="s">
        <v>269</v>
      </c>
      <c r="H143" s="107">
        <v>219</v>
      </c>
      <c r="I143" s="304">
        <v>19</v>
      </c>
      <c r="J143" s="306">
        <v>2</v>
      </c>
      <c r="K143" s="306">
        <v>-2</v>
      </c>
    </row>
    <row r="144" spans="1:11" ht="15.75">
      <c r="A144" s="107" t="s">
        <v>270</v>
      </c>
      <c r="B144" s="303">
        <v>232</v>
      </c>
      <c r="C144" s="304">
        <v>35</v>
      </c>
      <c r="D144" s="305">
        <v>1</v>
      </c>
      <c r="E144" s="306">
        <v>2</v>
      </c>
      <c r="F144" s="107"/>
      <c r="G144" s="107" t="s">
        <v>271</v>
      </c>
      <c r="H144" s="107">
        <v>241</v>
      </c>
      <c r="I144" s="304">
        <v>19</v>
      </c>
      <c r="J144" s="306">
        <v>3</v>
      </c>
      <c r="K144" s="306">
        <v>-2</v>
      </c>
    </row>
    <row r="145" spans="1:11" ht="15.75">
      <c r="A145" s="107" t="s">
        <v>272</v>
      </c>
      <c r="B145" s="303">
        <v>182</v>
      </c>
      <c r="C145" s="304">
        <v>35</v>
      </c>
      <c r="D145" s="305">
        <v>2</v>
      </c>
      <c r="E145" s="306">
        <v>2</v>
      </c>
      <c r="F145" s="107"/>
      <c r="G145" s="107" t="s">
        <v>273</v>
      </c>
      <c r="H145" s="107">
        <v>364</v>
      </c>
      <c r="I145" s="304">
        <v>19</v>
      </c>
      <c r="J145" s="306">
        <v>2</v>
      </c>
      <c r="K145" s="306">
        <v>-2</v>
      </c>
    </row>
    <row r="146" spans="1:11" ht="15.75">
      <c r="A146" s="107" t="s">
        <v>274</v>
      </c>
      <c r="B146" s="303">
        <v>253</v>
      </c>
      <c r="C146" s="304">
        <v>35</v>
      </c>
      <c r="D146" s="305">
        <v>2</v>
      </c>
      <c r="E146" s="306">
        <v>2</v>
      </c>
      <c r="F146" s="107"/>
      <c r="G146" s="107" t="s">
        <v>275</v>
      </c>
      <c r="H146" s="107">
        <v>338</v>
      </c>
      <c r="I146" s="304">
        <v>19</v>
      </c>
      <c r="J146" s="306">
        <v>3</v>
      </c>
      <c r="K146" s="306">
        <v>-2</v>
      </c>
    </row>
    <row r="147" spans="1:11" ht="15.75">
      <c r="A147" s="107" t="s">
        <v>276</v>
      </c>
      <c r="B147" s="303">
        <v>236</v>
      </c>
      <c r="C147" s="304">
        <v>35</v>
      </c>
      <c r="D147" s="305">
        <v>1</v>
      </c>
      <c r="E147" s="306">
        <v>2</v>
      </c>
      <c r="F147" s="107"/>
      <c r="G147" s="107" t="s">
        <v>277</v>
      </c>
      <c r="H147" s="107">
        <v>274</v>
      </c>
      <c r="I147" s="304">
        <v>19</v>
      </c>
      <c r="J147" s="306">
        <v>1</v>
      </c>
      <c r="K147" s="306">
        <v>-2</v>
      </c>
    </row>
    <row r="148" spans="1:11" ht="15.75">
      <c r="A148" s="107" t="s">
        <v>278</v>
      </c>
      <c r="B148" s="303">
        <v>296</v>
      </c>
      <c r="C148" s="304">
        <v>35</v>
      </c>
      <c r="D148" s="305">
        <v>1</v>
      </c>
      <c r="E148" s="306">
        <v>2</v>
      </c>
      <c r="F148" s="107"/>
      <c r="G148" s="107" t="s">
        <v>279</v>
      </c>
      <c r="H148" s="107">
        <v>231</v>
      </c>
      <c r="I148" s="304">
        <v>19</v>
      </c>
      <c r="J148" s="306">
        <v>3</v>
      </c>
      <c r="K148" s="306">
        <v>-2</v>
      </c>
    </row>
    <row r="149" spans="1:11" ht="15.75">
      <c r="A149" s="107" t="s">
        <v>280</v>
      </c>
      <c r="B149" s="303">
        <v>218</v>
      </c>
      <c r="C149" s="304">
        <v>35</v>
      </c>
      <c r="D149" s="305">
        <v>1</v>
      </c>
      <c r="E149" s="306">
        <v>2</v>
      </c>
      <c r="F149" s="107"/>
      <c r="G149" s="107" t="s">
        <v>281</v>
      </c>
      <c r="H149" s="107">
        <v>334</v>
      </c>
      <c r="I149" s="304">
        <v>19</v>
      </c>
      <c r="J149" s="306">
        <v>1</v>
      </c>
      <c r="K149" s="306">
        <v>-2</v>
      </c>
    </row>
    <row r="150" spans="1:11" ht="15.75">
      <c r="A150" s="107" t="s">
        <v>282</v>
      </c>
      <c r="B150" s="303">
        <v>182</v>
      </c>
      <c r="C150" s="304">
        <v>35</v>
      </c>
      <c r="D150" s="305">
        <v>3</v>
      </c>
      <c r="E150" s="306">
        <v>2</v>
      </c>
      <c r="F150" s="107"/>
      <c r="G150" s="107" t="s">
        <v>283</v>
      </c>
      <c r="H150" s="107">
        <v>343</v>
      </c>
      <c r="I150" s="304">
        <v>19</v>
      </c>
      <c r="J150" s="306">
        <v>1</v>
      </c>
      <c r="K150" s="306">
        <v>-2</v>
      </c>
    </row>
    <row r="151" spans="1:11" ht="15.75">
      <c r="A151" s="107" t="s">
        <v>284</v>
      </c>
      <c r="B151" s="303">
        <v>152</v>
      </c>
      <c r="C151" s="304">
        <v>35</v>
      </c>
      <c r="D151" s="305">
        <v>1</v>
      </c>
      <c r="E151" s="306">
        <v>2</v>
      </c>
      <c r="F151" s="107"/>
      <c r="G151" s="107" t="s">
        <v>285</v>
      </c>
      <c r="H151" s="107">
        <v>335</v>
      </c>
      <c r="I151" s="304">
        <v>19</v>
      </c>
      <c r="J151" s="306">
        <v>2</v>
      </c>
      <c r="K151" s="306">
        <v>-2</v>
      </c>
    </row>
    <row r="152" spans="1:11" ht="15.75">
      <c r="A152" s="107" t="s">
        <v>286</v>
      </c>
      <c r="B152" s="303">
        <v>224</v>
      </c>
      <c r="C152" s="304">
        <v>35</v>
      </c>
      <c r="D152" s="305">
        <v>1</v>
      </c>
      <c r="E152" s="306">
        <v>2</v>
      </c>
      <c r="F152" s="107"/>
      <c r="G152" s="107" t="s">
        <v>287</v>
      </c>
      <c r="H152" s="107">
        <v>280</v>
      </c>
      <c r="I152" s="304">
        <v>19</v>
      </c>
      <c r="J152" s="306">
        <v>1</v>
      </c>
      <c r="K152" s="306">
        <v>-2</v>
      </c>
    </row>
    <row r="153" spans="1:11" ht="15.75">
      <c r="A153" s="107" t="s">
        <v>288</v>
      </c>
      <c r="B153" s="303">
        <v>186</v>
      </c>
      <c r="C153" s="304">
        <v>35</v>
      </c>
      <c r="D153" s="305">
        <v>2</v>
      </c>
      <c r="E153" s="306">
        <v>2</v>
      </c>
      <c r="F153" s="107"/>
      <c r="G153" s="107" t="s">
        <v>289</v>
      </c>
      <c r="H153" s="107">
        <v>383</v>
      </c>
      <c r="I153" s="304">
        <v>55</v>
      </c>
      <c r="J153" s="306">
        <v>2</v>
      </c>
      <c r="K153" s="306">
        <v>-2</v>
      </c>
    </row>
    <row r="154" spans="1:11" ht="15.75">
      <c r="A154" s="107" t="s">
        <v>290</v>
      </c>
      <c r="B154" s="303">
        <v>182</v>
      </c>
      <c r="C154" s="304">
        <v>35</v>
      </c>
      <c r="D154" s="305">
        <v>1</v>
      </c>
      <c r="E154" s="306">
        <v>2</v>
      </c>
      <c r="F154" s="107"/>
      <c r="G154" s="107" t="s">
        <v>291</v>
      </c>
      <c r="H154" s="107">
        <v>128</v>
      </c>
      <c r="I154" s="304">
        <v>19</v>
      </c>
      <c r="J154" s="306">
        <v>1</v>
      </c>
      <c r="K154" s="306">
        <v>-1</v>
      </c>
    </row>
    <row r="155" spans="1:11" ht="15.75">
      <c r="A155" s="107" t="s">
        <v>292</v>
      </c>
      <c r="B155" s="303">
        <v>312</v>
      </c>
      <c r="C155" s="304">
        <v>35</v>
      </c>
      <c r="D155" s="305">
        <v>1</v>
      </c>
      <c r="E155" s="306">
        <v>2</v>
      </c>
      <c r="F155" s="107"/>
      <c r="G155" s="107" t="s">
        <v>293</v>
      </c>
      <c r="H155" s="107">
        <v>322</v>
      </c>
      <c r="I155" s="304">
        <v>19</v>
      </c>
      <c r="J155" s="306">
        <v>1</v>
      </c>
      <c r="K155" s="306">
        <v>-2</v>
      </c>
    </row>
    <row r="156" spans="1:11" ht="15.75">
      <c r="A156" s="107" t="s">
        <v>294</v>
      </c>
      <c r="B156" s="303">
        <v>328</v>
      </c>
      <c r="C156" s="304">
        <v>35</v>
      </c>
      <c r="D156" s="305">
        <v>1</v>
      </c>
      <c r="E156" s="306">
        <v>2</v>
      </c>
      <c r="F156" s="107"/>
      <c r="G156" s="107" t="s">
        <v>295</v>
      </c>
      <c r="H156" s="107">
        <v>211</v>
      </c>
      <c r="I156" s="304">
        <v>19</v>
      </c>
      <c r="J156" s="306">
        <v>3</v>
      </c>
      <c r="K156" s="306">
        <v>-2</v>
      </c>
    </row>
    <row r="157" spans="1:11" ht="15.75">
      <c r="A157" s="107" t="s">
        <v>296</v>
      </c>
      <c r="B157" s="303">
        <v>296</v>
      </c>
      <c r="C157" s="304">
        <v>35</v>
      </c>
      <c r="D157" s="305">
        <v>3</v>
      </c>
      <c r="E157" s="306">
        <v>2</v>
      </c>
      <c r="F157" s="107"/>
      <c r="G157" s="107" t="s">
        <v>297</v>
      </c>
      <c r="H157" s="107">
        <v>249</v>
      </c>
      <c r="I157" s="304">
        <v>19</v>
      </c>
      <c r="J157" s="306">
        <v>3</v>
      </c>
      <c r="K157" s="306">
        <v>-2</v>
      </c>
    </row>
    <row r="158" spans="1:11" ht="15.75">
      <c r="A158" s="107" t="s">
        <v>298</v>
      </c>
      <c r="B158" s="303">
        <v>356</v>
      </c>
      <c r="C158" s="304">
        <v>35</v>
      </c>
      <c r="D158" s="305">
        <v>1</v>
      </c>
      <c r="E158" s="306">
        <v>2</v>
      </c>
      <c r="F158" s="107"/>
      <c r="G158" s="107" t="s">
        <v>299</v>
      </c>
      <c r="H158" s="107">
        <v>141</v>
      </c>
      <c r="I158" s="304">
        <v>19</v>
      </c>
      <c r="J158" s="306">
        <v>5</v>
      </c>
      <c r="K158" s="306">
        <v>-2</v>
      </c>
    </row>
    <row r="159" spans="1:11" ht="15.75">
      <c r="A159" s="107" t="s">
        <v>300</v>
      </c>
      <c r="B159" s="303">
        <v>361</v>
      </c>
      <c r="C159" s="304">
        <v>35</v>
      </c>
      <c r="D159" s="305">
        <v>1</v>
      </c>
      <c r="E159" s="306">
        <v>2</v>
      </c>
      <c r="F159" s="107"/>
      <c r="G159" s="107" t="s">
        <v>301</v>
      </c>
      <c r="H159" s="107">
        <v>167</v>
      </c>
      <c r="I159" s="304">
        <v>19</v>
      </c>
      <c r="J159" s="306">
        <v>5</v>
      </c>
      <c r="K159" s="306">
        <v>-2</v>
      </c>
    </row>
    <row r="160" spans="1:11" ht="15.75">
      <c r="A160" s="107" t="s">
        <v>302</v>
      </c>
      <c r="B160" s="303">
        <v>342</v>
      </c>
      <c r="C160" s="304">
        <v>35</v>
      </c>
      <c r="D160" s="305">
        <v>1</v>
      </c>
      <c r="E160" s="306">
        <v>2</v>
      </c>
      <c r="F160" s="107"/>
      <c r="G160" s="107" t="s">
        <v>303</v>
      </c>
      <c r="H160" s="107">
        <v>365</v>
      </c>
      <c r="I160" s="304">
        <v>19</v>
      </c>
      <c r="J160" s="306">
        <v>2</v>
      </c>
      <c r="K160" s="306">
        <v>-2</v>
      </c>
    </row>
    <row r="161" spans="1:11" ht="15.75">
      <c r="A161" s="107" t="s">
        <v>304</v>
      </c>
      <c r="B161" s="303">
        <v>192</v>
      </c>
      <c r="C161" s="304">
        <v>35</v>
      </c>
      <c r="D161" s="305">
        <v>1</v>
      </c>
      <c r="E161" s="306">
        <v>2</v>
      </c>
      <c r="F161" s="107"/>
      <c r="G161" s="107" t="s">
        <v>305</v>
      </c>
      <c r="H161" s="107">
        <v>336</v>
      </c>
      <c r="I161" s="304">
        <v>19</v>
      </c>
      <c r="J161" s="306">
        <v>2</v>
      </c>
      <c r="K161" s="306">
        <v>-2</v>
      </c>
    </row>
    <row r="162" spans="1:11" ht="15.75">
      <c r="A162" s="107" t="s">
        <v>306</v>
      </c>
      <c r="B162" s="303">
        <v>222</v>
      </c>
      <c r="C162" s="304">
        <v>35</v>
      </c>
      <c r="D162" s="305">
        <v>4</v>
      </c>
      <c r="E162" s="306">
        <v>2</v>
      </c>
      <c r="F162" s="107"/>
      <c r="G162" s="107" t="s">
        <v>307</v>
      </c>
      <c r="H162" s="107">
        <v>276</v>
      </c>
      <c r="I162" s="304">
        <v>19</v>
      </c>
      <c r="J162" s="306">
        <v>1</v>
      </c>
      <c r="K162" s="306">
        <v>-2</v>
      </c>
    </row>
    <row r="163" spans="1:11" ht="15.75">
      <c r="A163" s="107" t="s">
        <v>308</v>
      </c>
      <c r="B163" s="303">
        <v>252</v>
      </c>
      <c r="C163" s="304">
        <v>35</v>
      </c>
      <c r="D163" s="305">
        <v>2</v>
      </c>
      <c r="E163" s="306">
        <v>2</v>
      </c>
      <c r="F163" s="107"/>
      <c r="G163" s="107" t="s">
        <v>309</v>
      </c>
      <c r="H163" s="107">
        <v>279</v>
      </c>
      <c r="I163" s="304">
        <v>19</v>
      </c>
      <c r="J163" s="306">
        <v>1</v>
      </c>
      <c r="K163" s="306">
        <v>-2</v>
      </c>
    </row>
    <row r="164" spans="1:11" ht="15.75">
      <c r="A164" s="107" t="s">
        <v>310</v>
      </c>
      <c r="B164" s="303">
        <v>217</v>
      </c>
      <c r="C164" s="304">
        <v>35</v>
      </c>
      <c r="D164" s="305">
        <v>3</v>
      </c>
      <c r="E164" s="306">
        <v>2</v>
      </c>
      <c r="F164" s="107"/>
      <c r="G164" s="107" t="s">
        <v>311</v>
      </c>
      <c r="H164" s="107">
        <v>347</v>
      </c>
      <c r="I164" s="304">
        <v>19</v>
      </c>
      <c r="J164" s="306">
        <v>2</v>
      </c>
      <c r="K164" s="306">
        <v>-2</v>
      </c>
    </row>
    <row r="165" spans="1:11" ht="15.75">
      <c r="A165" s="107" t="s">
        <v>312</v>
      </c>
      <c r="B165" s="303">
        <v>193</v>
      </c>
      <c r="C165" s="304">
        <v>35</v>
      </c>
      <c r="D165" s="305">
        <v>1</v>
      </c>
      <c r="E165" s="306">
        <v>2</v>
      </c>
      <c r="F165" s="107"/>
      <c r="G165" s="107" t="s">
        <v>313</v>
      </c>
      <c r="H165" s="107">
        <v>268</v>
      </c>
      <c r="I165" s="304">
        <v>19</v>
      </c>
      <c r="J165" s="306">
        <v>2</v>
      </c>
      <c r="K165" s="306">
        <v>-2</v>
      </c>
    </row>
    <row r="166" spans="1:11" ht="15.75">
      <c r="A166" s="107" t="s">
        <v>314</v>
      </c>
      <c r="B166" s="303">
        <v>169</v>
      </c>
      <c r="C166" s="304">
        <v>35</v>
      </c>
      <c r="D166" s="305">
        <v>4</v>
      </c>
      <c r="E166" s="306">
        <v>2</v>
      </c>
      <c r="F166" s="107"/>
      <c r="G166" s="107" t="s">
        <v>315</v>
      </c>
      <c r="H166" s="107">
        <v>354</v>
      </c>
      <c r="I166" s="304">
        <v>19</v>
      </c>
      <c r="J166" s="306">
        <v>3</v>
      </c>
      <c r="K166" s="306">
        <v>-2</v>
      </c>
    </row>
    <row r="167" spans="1:11" ht="15.75">
      <c r="A167" s="107" t="s">
        <v>316</v>
      </c>
      <c r="B167" s="303">
        <v>187</v>
      </c>
      <c r="C167" s="304">
        <v>35</v>
      </c>
      <c r="D167" s="305">
        <v>1</v>
      </c>
      <c r="E167" s="306">
        <v>2</v>
      </c>
      <c r="F167" s="107"/>
      <c r="G167" s="107" t="s">
        <v>317</v>
      </c>
      <c r="H167" s="107">
        <v>313</v>
      </c>
      <c r="I167" s="304">
        <v>19</v>
      </c>
      <c r="J167" s="306">
        <v>1</v>
      </c>
      <c r="K167" s="306">
        <v>-2</v>
      </c>
    </row>
    <row r="168" spans="1:11" ht="15.75">
      <c r="A168" s="107" t="s">
        <v>318</v>
      </c>
      <c r="B168" s="303">
        <v>234</v>
      </c>
      <c r="C168" s="304">
        <v>35</v>
      </c>
      <c r="D168" s="305">
        <v>1</v>
      </c>
      <c r="E168" s="306">
        <v>2</v>
      </c>
      <c r="F168" s="107"/>
      <c r="G168" s="107" t="s">
        <v>319</v>
      </c>
      <c r="H168" s="107">
        <v>333</v>
      </c>
      <c r="I168" s="304">
        <v>19</v>
      </c>
      <c r="J168" s="306">
        <v>3</v>
      </c>
      <c r="K168" s="306">
        <v>-2</v>
      </c>
    </row>
    <row r="169" spans="1:11" ht="15.75">
      <c r="A169" s="107" t="s">
        <v>320</v>
      </c>
      <c r="B169" s="303">
        <v>290</v>
      </c>
      <c r="C169" s="304">
        <v>35</v>
      </c>
      <c r="D169" s="305">
        <v>3</v>
      </c>
      <c r="E169" s="306">
        <v>2</v>
      </c>
      <c r="F169" s="107"/>
      <c r="G169" s="107" t="s">
        <v>321</v>
      </c>
      <c r="H169" s="107">
        <v>252</v>
      </c>
      <c r="I169" s="304">
        <v>19</v>
      </c>
      <c r="J169" s="306">
        <v>4</v>
      </c>
      <c r="K169" s="306">
        <v>-2</v>
      </c>
    </row>
    <row r="170" spans="1:11" ht="15.75">
      <c r="A170" s="107" t="s">
        <v>322</v>
      </c>
      <c r="B170" s="303">
        <v>442</v>
      </c>
      <c r="C170" s="304">
        <v>51</v>
      </c>
      <c r="D170" s="305">
        <v>1</v>
      </c>
      <c r="E170" s="306">
        <v>3</v>
      </c>
      <c r="F170" s="107"/>
      <c r="G170" s="107" t="s">
        <v>323</v>
      </c>
      <c r="H170" s="107">
        <v>380</v>
      </c>
      <c r="I170" s="304">
        <v>19</v>
      </c>
      <c r="J170" s="306">
        <v>1</v>
      </c>
      <c r="K170" s="306">
        <v>-2</v>
      </c>
    </row>
    <row r="171" spans="1:11" ht="15.75">
      <c r="A171" s="107" t="s">
        <v>324</v>
      </c>
      <c r="B171" s="303">
        <v>288</v>
      </c>
      <c r="C171" s="304">
        <v>42</v>
      </c>
      <c r="D171" s="305">
        <v>2</v>
      </c>
      <c r="E171" s="306">
        <v>2</v>
      </c>
      <c r="F171" s="107"/>
      <c r="G171" s="107" t="s">
        <v>325</v>
      </c>
      <c r="H171" s="107">
        <v>428</v>
      </c>
      <c r="I171" s="304">
        <v>19</v>
      </c>
      <c r="J171" s="306">
        <v>1</v>
      </c>
      <c r="K171" s="306">
        <v>-2</v>
      </c>
    </row>
    <row r="172" spans="1:11" ht="15.75">
      <c r="A172" s="107" t="s">
        <v>326</v>
      </c>
      <c r="B172" s="303">
        <v>282</v>
      </c>
      <c r="C172" s="304">
        <v>42</v>
      </c>
      <c r="D172" s="305">
        <v>1</v>
      </c>
      <c r="E172" s="306">
        <v>2</v>
      </c>
      <c r="F172" s="107"/>
      <c r="G172" s="107" t="s">
        <v>327</v>
      </c>
      <c r="H172" s="107">
        <v>364</v>
      </c>
      <c r="I172" s="304">
        <v>19</v>
      </c>
      <c r="J172" s="306">
        <v>1</v>
      </c>
      <c r="K172" s="306">
        <v>-2</v>
      </c>
    </row>
    <row r="173" spans="1:11" ht="15.75">
      <c r="A173" s="107" t="s">
        <v>328</v>
      </c>
      <c r="B173" s="303">
        <v>453</v>
      </c>
      <c r="C173" s="304">
        <v>34</v>
      </c>
      <c r="D173" s="305">
        <v>1</v>
      </c>
      <c r="E173" s="306">
        <v>4</v>
      </c>
      <c r="F173" s="107"/>
      <c r="G173" s="107" t="s">
        <v>329</v>
      </c>
      <c r="H173" s="107">
        <v>383</v>
      </c>
      <c r="I173" s="304">
        <v>19</v>
      </c>
      <c r="J173" s="306">
        <v>1</v>
      </c>
      <c r="K173" s="306">
        <v>-2</v>
      </c>
    </row>
    <row r="174" spans="1:11" ht="15.75">
      <c r="A174" s="107" t="s">
        <v>929</v>
      </c>
      <c r="B174" s="107"/>
      <c r="C174" s="308"/>
      <c r="D174" s="107"/>
      <c r="E174" s="306"/>
      <c r="F174" s="107"/>
      <c r="G174" s="107" t="s">
        <v>330</v>
      </c>
      <c r="H174" s="107">
        <v>333</v>
      </c>
      <c r="I174" s="304">
        <v>19</v>
      </c>
      <c r="J174" s="306">
        <v>1</v>
      </c>
      <c r="K174" s="306">
        <v>-2</v>
      </c>
    </row>
    <row r="175" spans="1:11" ht="15.75">
      <c r="A175" s="309" t="s">
        <v>331</v>
      </c>
      <c r="B175" s="310">
        <v>113</v>
      </c>
      <c r="C175" s="308"/>
      <c r="D175" s="107"/>
      <c r="E175" s="306">
        <v>1</v>
      </c>
      <c r="F175" s="107"/>
      <c r="G175" s="107" t="s">
        <v>332</v>
      </c>
      <c r="H175" s="107">
        <v>451</v>
      </c>
      <c r="I175" s="304">
        <v>19</v>
      </c>
      <c r="J175" s="306">
        <v>2</v>
      </c>
      <c r="K175" s="306">
        <v>-2</v>
      </c>
    </row>
    <row r="176" spans="1:11" ht="15.75">
      <c r="A176" s="309" t="s">
        <v>333</v>
      </c>
      <c r="B176" s="310">
        <v>57</v>
      </c>
      <c r="C176" s="308"/>
      <c r="D176" s="107"/>
      <c r="E176" s="306">
        <v>3</v>
      </c>
      <c r="F176" s="107"/>
      <c r="G176" s="107" t="s">
        <v>334</v>
      </c>
      <c r="H176" s="107">
        <v>324</v>
      </c>
      <c r="I176" s="304">
        <v>19</v>
      </c>
      <c r="J176" s="306">
        <v>1</v>
      </c>
      <c r="K176" s="306">
        <v>-2</v>
      </c>
    </row>
    <row r="177" spans="1:11" ht="15.75">
      <c r="A177" s="309" t="s">
        <v>335</v>
      </c>
      <c r="B177" s="310">
        <v>69</v>
      </c>
      <c r="C177" s="308"/>
      <c r="D177" s="107"/>
      <c r="E177" s="306">
        <v>3</v>
      </c>
      <c r="F177" s="107"/>
      <c r="G177" s="107" t="s">
        <v>336</v>
      </c>
      <c r="H177" s="107">
        <v>363</v>
      </c>
      <c r="I177" s="304">
        <v>19</v>
      </c>
      <c r="J177" s="306">
        <v>3</v>
      </c>
      <c r="K177" s="306">
        <v>-2</v>
      </c>
    </row>
    <row r="178" spans="1:11" ht="15.75">
      <c r="A178" s="309" t="s">
        <v>337</v>
      </c>
      <c r="B178" s="310">
        <v>143</v>
      </c>
      <c r="C178" s="308"/>
      <c r="D178" s="107"/>
      <c r="E178" s="306">
        <v>2</v>
      </c>
      <c r="F178" s="107"/>
      <c r="G178" s="107" t="s">
        <v>338</v>
      </c>
      <c r="H178" s="107">
        <v>307</v>
      </c>
      <c r="I178" s="304">
        <v>19</v>
      </c>
      <c r="J178" s="306">
        <v>3</v>
      </c>
      <c r="K178" s="306">
        <v>-2</v>
      </c>
    </row>
    <row r="179" spans="1:11" ht="15.75">
      <c r="A179" s="309" t="s">
        <v>339</v>
      </c>
      <c r="B179" s="310">
        <v>34</v>
      </c>
      <c r="C179" s="308"/>
      <c r="D179" s="107"/>
      <c r="E179" s="306">
        <v>2</v>
      </c>
      <c r="F179" s="107"/>
      <c r="G179" s="107" t="s">
        <v>340</v>
      </c>
      <c r="H179" s="107">
        <v>333</v>
      </c>
      <c r="I179" s="304">
        <v>19</v>
      </c>
      <c r="J179" s="306">
        <v>2</v>
      </c>
      <c r="K179" s="306">
        <v>-2</v>
      </c>
    </row>
    <row r="180" spans="1:11" ht="15.75">
      <c r="A180" s="309" t="s">
        <v>341</v>
      </c>
      <c r="B180" s="310">
        <v>106</v>
      </c>
      <c r="C180" s="308"/>
      <c r="D180" s="107"/>
      <c r="E180" s="306">
        <v>2</v>
      </c>
      <c r="F180" s="107"/>
      <c r="G180" s="107" t="s">
        <v>342</v>
      </c>
      <c r="H180" s="107">
        <v>245</v>
      </c>
      <c r="I180" s="304">
        <v>19</v>
      </c>
      <c r="J180" s="306">
        <v>2</v>
      </c>
      <c r="K180" s="306">
        <v>-2</v>
      </c>
    </row>
    <row r="181" spans="1:11" ht="15.75">
      <c r="A181" s="309" t="s">
        <v>343</v>
      </c>
      <c r="B181" s="310">
        <v>103</v>
      </c>
      <c r="C181" s="308"/>
      <c r="D181" s="107"/>
      <c r="E181" s="306">
        <v>2</v>
      </c>
      <c r="F181" s="107"/>
      <c r="G181" s="107" t="s">
        <v>344</v>
      </c>
      <c r="H181" s="107">
        <v>349</v>
      </c>
      <c r="I181" s="304">
        <v>19</v>
      </c>
      <c r="J181" s="306">
        <v>1</v>
      </c>
      <c r="K181" s="306">
        <v>-2</v>
      </c>
    </row>
    <row r="182" spans="1:11" ht="15.75">
      <c r="A182" s="309" t="s">
        <v>345</v>
      </c>
      <c r="B182" s="310">
        <v>118</v>
      </c>
      <c r="C182" s="308"/>
      <c r="D182" s="107"/>
      <c r="E182" s="306">
        <v>3</v>
      </c>
      <c r="F182" s="107"/>
      <c r="G182" s="107" t="s">
        <v>346</v>
      </c>
      <c r="H182" s="107">
        <v>371</v>
      </c>
      <c r="I182" s="304">
        <v>19</v>
      </c>
      <c r="J182" s="306">
        <v>3</v>
      </c>
      <c r="K182" s="306">
        <v>-2</v>
      </c>
    </row>
    <row r="183" spans="1:11" ht="15.75">
      <c r="A183" s="309" t="s">
        <v>347</v>
      </c>
      <c r="B183" s="310">
        <v>102</v>
      </c>
      <c r="C183" s="308"/>
      <c r="D183" s="107"/>
      <c r="E183" s="306">
        <v>4</v>
      </c>
      <c r="F183" s="107"/>
      <c r="G183" s="107" t="s">
        <v>348</v>
      </c>
      <c r="H183" s="107">
        <v>337</v>
      </c>
      <c r="I183" s="304">
        <v>19</v>
      </c>
      <c r="J183" s="306">
        <v>3</v>
      </c>
      <c r="K183" s="306">
        <v>-2</v>
      </c>
    </row>
    <row r="184" spans="1:11" ht="15.75">
      <c r="A184" s="309" t="s">
        <v>349</v>
      </c>
      <c r="B184" s="310">
        <v>82</v>
      </c>
      <c r="C184" s="308"/>
      <c r="D184" s="107"/>
      <c r="E184" s="306">
        <v>2</v>
      </c>
      <c r="F184" s="107"/>
      <c r="G184" s="107" t="s">
        <v>350</v>
      </c>
      <c r="H184" s="107">
        <v>256</v>
      </c>
      <c r="I184" s="304">
        <v>19</v>
      </c>
      <c r="J184" s="306">
        <v>3</v>
      </c>
      <c r="K184" s="306">
        <v>-2</v>
      </c>
    </row>
    <row r="185" spans="1:11" ht="15.75">
      <c r="A185" s="309" t="s">
        <v>351</v>
      </c>
      <c r="B185" s="310">
        <v>64</v>
      </c>
      <c r="C185" s="308"/>
      <c r="D185" s="107"/>
      <c r="E185" s="306">
        <v>3</v>
      </c>
      <c r="F185" s="107"/>
      <c r="G185" s="107" t="s">
        <v>352</v>
      </c>
      <c r="H185" s="107">
        <v>276</v>
      </c>
      <c r="I185" s="304">
        <v>19</v>
      </c>
      <c r="J185" s="306">
        <v>2</v>
      </c>
      <c r="K185" s="306">
        <v>-2</v>
      </c>
    </row>
    <row r="186" spans="1:11" ht="15.75">
      <c r="A186" s="309" t="s">
        <v>353</v>
      </c>
      <c r="B186" s="310">
        <v>83</v>
      </c>
      <c r="C186" s="308"/>
      <c r="D186" s="107"/>
      <c r="E186" s="306">
        <v>2</v>
      </c>
      <c r="F186" s="107"/>
      <c r="G186" s="107" t="s">
        <v>354</v>
      </c>
      <c r="H186" s="107">
        <v>257</v>
      </c>
      <c r="I186" s="304">
        <v>19</v>
      </c>
      <c r="J186" s="306">
        <v>1</v>
      </c>
      <c r="K186" s="306">
        <v>-2</v>
      </c>
    </row>
    <row r="187" spans="1:11" ht="15.75">
      <c r="A187" s="309" t="s">
        <v>355</v>
      </c>
      <c r="B187" s="310">
        <v>64</v>
      </c>
      <c r="C187" s="308"/>
      <c r="D187" s="107"/>
      <c r="E187" s="306">
        <v>3</v>
      </c>
      <c r="F187" s="107"/>
      <c r="G187" s="107" t="s">
        <v>356</v>
      </c>
      <c r="H187" s="107">
        <v>421</v>
      </c>
      <c r="I187" s="304">
        <v>26</v>
      </c>
      <c r="J187" s="306">
        <v>3</v>
      </c>
      <c r="K187" s="306">
        <v>-2</v>
      </c>
    </row>
    <row r="188" spans="1:11" ht="15.75">
      <c r="A188" s="309" t="s">
        <v>357</v>
      </c>
      <c r="B188" s="310">
        <v>165</v>
      </c>
      <c r="C188" s="308"/>
      <c r="D188" s="107"/>
      <c r="E188" s="306">
        <v>1</v>
      </c>
      <c r="F188" s="107"/>
      <c r="G188" s="107" t="s">
        <v>358</v>
      </c>
      <c r="H188" s="107">
        <v>240</v>
      </c>
      <c r="I188" s="304">
        <v>19</v>
      </c>
      <c r="J188" s="306">
        <v>3</v>
      </c>
      <c r="K188" s="306">
        <v>-2</v>
      </c>
    </row>
    <row r="189" spans="1:11" ht="15.75">
      <c r="A189" s="309" t="s">
        <v>359</v>
      </c>
      <c r="B189" s="310">
        <v>107</v>
      </c>
      <c r="C189" s="308"/>
      <c r="D189" s="107"/>
      <c r="E189" s="306">
        <v>3</v>
      </c>
      <c r="F189" s="107"/>
      <c r="G189" s="107" t="s">
        <v>360</v>
      </c>
      <c r="H189" s="107">
        <v>336</v>
      </c>
      <c r="I189" s="304">
        <v>19</v>
      </c>
      <c r="J189" s="306">
        <v>1</v>
      </c>
      <c r="K189" s="306">
        <v>-2</v>
      </c>
    </row>
    <row r="190" spans="1:11" ht="15.75">
      <c r="A190" s="309" t="s">
        <v>361</v>
      </c>
      <c r="B190" s="310">
        <v>104</v>
      </c>
      <c r="C190" s="308"/>
      <c r="D190" s="107"/>
      <c r="E190" s="306">
        <v>3</v>
      </c>
      <c r="F190" s="107"/>
      <c r="G190" s="107" t="s">
        <v>362</v>
      </c>
      <c r="H190" s="107">
        <v>248</v>
      </c>
      <c r="I190" s="304">
        <v>19</v>
      </c>
      <c r="J190" s="306">
        <v>4</v>
      </c>
      <c r="K190" s="306">
        <v>-2</v>
      </c>
    </row>
    <row r="191" spans="1:11" ht="14.25">
      <c r="A191" s="309" t="s">
        <v>363</v>
      </c>
      <c r="B191" s="310">
        <v>113</v>
      </c>
      <c r="C191" s="308"/>
      <c r="D191" s="107"/>
      <c r="E191" s="306">
        <v>2</v>
      </c>
      <c r="F191" s="107"/>
      <c r="G191" s="107" t="s">
        <v>364</v>
      </c>
      <c r="H191" s="107">
        <v>189</v>
      </c>
      <c r="I191" s="304">
        <v>19</v>
      </c>
      <c r="J191" s="306">
        <v>4</v>
      </c>
      <c r="K191" s="306">
        <v>-2</v>
      </c>
    </row>
    <row r="192" spans="1:11" ht="15.75">
      <c r="A192" s="309" t="s">
        <v>365</v>
      </c>
      <c r="B192" s="310">
        <v>82</v>
      </c>
      <c r="C192" s="308"/>
      <c r="D192" s="107"/>
      <c r="E192" s="306">
        <v>2</v>
      </c>
      <c r="F192" s="107"/>
      <c r="G192" s="107" t="s">
        <v>366</v>
      </c>
      <c r="H192" s="107">
        <v>251</v>
      </c>
      <c r="I192" s="304">
        <v>19</v>
      </c>
      <c r="J192" s="306">
        <v>1</v>
      </c>
      <c r="K192" s="306">
        <v>-2</v>
      </c>
    </row>
    <row r="193" spans="1:11" ht="15.75">
      <c r="A193" s="309" t="s">
        <v>367</v>
      </c>
      <c r="B193" s="310">
        <v>67</v>
      </c>
      <c r="C193" s="308"/>
      <c r="D193" s="107"/>
      <c r="E193" s="306">
        <v>3</v>
      </c>
      <c r="F193" s="107"/>
      <c r="G193" s="107" t="s">
        <v>368</v>
      </c>
      <c r="H193" s="107">
        <v>262</v>
      </c>
      <c r="I193" s="304">
        <v>19</v>
      </c>
      <c r="J193" s="306">
        <v>1</v>
      </c>
      <c r="K193" s="306">
        <v>-2</v>
      </c>
    </row>
    <row r="194" spans="1:11" ht="15.75">
      <c r="A194" s="309" t="s">
        <v>369</v>
      </c>
      <c r="B194" s="310">
        <v>62</v>
      </c>
      <c r="C194" s="308"/>
      <c r="D194" s="107"/>
      <c r="E194" s="306">
        <v>3</v>
      </c>
      <c r="F194" s="107"/>
      <c r="G194" s="107" t="s">
        <v>370</v>
      </c>
      <c r="H194" s="107">
        <v>270</v>
      </c>
      <c r="I194" s="304">
        <v>19</v>
      </c>
      <c r="J194" s="306">
        <v>1</v>
      </c>
      <c r="K194" s="306">
        <v>-2</v>
      </c>
    </row>
    <row r="195" spans="1:11" ht="15.75">
      <c r="A195" s="309" t="s">
        <v>371</v>
      </c>
      <c r="B195" s="310">
        <v>111</v>
      </c>
      <c r="C195" s="308"/>
      <c r="D195" s="107"/>
      <c r="E195" s="306">
        <v>3</v>
      </c>
      <c r="F195" s="107"/>
      <c r="G195" s="107" t="s">
        <v>372</v>
      </c>
      <c r="H195" s="107">
        <v>283</v>
      </c>
      <c r="I195" s="304">
        <v>19</v>
      </c>
      <c r="J195" s="306">
        <v>4</v>
      </c>
      <c r="K195" s="306">
        <v>-2</v>
      </c>
    </row>
    <row r="196" spans="1:11" ht="15.75">
      <c r="A196" s="309" t="s">
        <v>373</v>
      </c>
      <c r="B196" s="310">
        <v>90</v>
      </c>
      <c r="C196" s="308"/>
      <c r="D196" s="107"/>
      <c r="E196" s="306">
        <v>2</v>
      </c>
      <c r="F196" s="107"/>
      <c r="G196" s="107" t="s">
        <v>374</v>
      </c>
      <c r="H196" s="107">
        <v>275</v>
      </c>
      <c r="I196" s="304">
        <v>19</v>
      </c>
      <c r="J196" s="306">
        <v>1</v>
      </c>
      <c r="K196" s="306">
        <v>-2</v>
      </c>
    </row>
    <row r="197" spans="1:11" ht="15.75">
      <c r="A197" s="309" t="s">
        <v>375</v>
      </c>
      <c r="B197" s="310">
        <v>84</v>
      </c>
      <c r="C197" s="308"/>
      <c r="D197" s="107"/>
      <c r="E197" s="306">
        <v>4</v>
      </c>
      <c r="F197" s="107"/>
      <c r="G197" s="107" t="s">
        <v>376</v>
      </c>
      <c r="H197" s="107">
        <v>291</v>
      </c>
      <c r="I197" s="304">
        <v>19</v>
      </c>
      <c r="J197" s="306">
        <v>2</v>
      </c>
      <c r="K197" s="306">
        <v>-2</v>
      </c>
    </row>
    <row r="198" spans="1:11" ht="15.75">
      <c r="A198" s="309" t="s">
        <v>377</v>
      </c>
      <c r="B198" s="310">
        <v>112</v>
      </c>
      <c r="C198" s="308"/>
      <c r="D198" s="107"/>
      <c r="E198" s="306">
        <v>2</v>
      </c>
      <c r="F198" s="107"/>
      <c r="G198" s="107" t="s">
        <v>378</v>
      </c>
      <c r="H198" s="107">
        <v>302</v>
      </c>
      <c r="I198" s="304">
        <v>19</v>
      </c>
      <c r="J198" s="306">
        <v>1</v>
      </c>
      <c r="K198" s="306">
        <v>-2</v>
      </c>
    </row>
    <row r="199" spans="1:11" ht="15.75">
      <c r="A199" s="309" t="s">
        <v>379</v>
      </c>
      <c r="B199" s="310">
        <v>105</v>
      </c>
      <c r="C199" s="308"/>
      <c r="D199" s="107"/>
      <c r="E199" s="306">
        <v>3</v>
      </c>
      <c r="F199" s="107"/>
      <c r="G199" s="107" t="s">
        <v>380</v>
      </c>
      <c r="H199" s="107">
        <v>325</v>
      </c>
      <c r="I199" s="304">
        <v>19</v>
      </c>
      <c r="J199" s="306">
        <v>1</v>
      </c>
      <c r="K199" s="306">
        <v>-2</v>
      </c>
    </row>
    <row r="200" spans="1:11" ht="15.75">
      <c r="A200" s="309" t="s">
        <v>381</v>
      </c>
      <c r="B200" s="310">
        <v>92</v>
      </c>
      <c r="C200" s="308"/>
      <c r="D200" s="107"/>
      <c r="E200" s="306">
        <v>3</v>
      </c>
      <c r="F200" s="107"/>
      <c r="G200" s="107" t="s">
        <v>382</v>
      </c>
      <c r="H200" s="107">
        <v>382</v>
      </c>
      <c r="I200" s="304">
        <v>19</v>
      </c>
      <c r="J200" s="306">
        <v>1</v>
      </c>
      <c r="K200" s="306">
        <v>-2</v>
      </c>
    </row>
    <row r="201" spans="1:11" ht="15.75">
      <c r="A201" s="309" t="s">
        <v>383</v>
      </c>
      <c r="B201" s="310">
        <v>66</v>
      </c>
      <c r="C201" s="308"/>
      <c r="D201" s="107"/>
      <c r="E201" s="306">
        <v>4</v>
      </c>
      <c r="F201" s="107"/>
      <c r="G201" s="107" t="s">
        <v>384</v>
      </c>
      <c r="H201" s="107">
        <v>374</v>
      </c>
      <c r="I201" s="304">
        <v>19</v>
      </c>
      <c r="J201" s="306">
        <v>2</v>
      </c>
      <c r="K201" s="306">
        <v>-2</v>
      </c>
    </row>
    <row r="202" spans="1:11" ht="15.75">
      <c r="A202" s="309" t="s">
        <v>385</v>
      </c>
      <c r="B202" s="310">
        <v>133</v>
      </c>
      <c r="C202" s="308"/>
      <c r="D202" s="107"/>
      <c r="E202" s="306">
        <v>1</v>
      </c>
      <c r="F202" s="107"/>
      <c r="G202" s="107" t="s">
        <v>386</v>
      </c>
      <c r="H202" s="107">
        <v>276</v>
      </c>
      <c r="I202" s="304">
        <v>19</v>
      </c>
      <c r="J202" s="306">
        <v>1</v>
      </c>
      <c r="K202" s="306">
        <v>-2</v>
      </c>
    </row>
    <row r="203" spans="1:11" ht="14.25">
      <c r="A203" s="309" t="s">
        <v>387</v>
      </c>
      <c r="B203" s="310">
        <v>122</v>
      </c>
      <c r="C203" s="308"/>
      <c r="D203" s="107"/>
      <c r="E203" s="306">
        <v>3</v>
      </c>
      <c r="F203" s="107"/>
      <c r="G203" s="107" t="s">
        <v>388</v>
      </c>
      <c r="H203" s="107">
        <v>181</v>
      </c>
      <c r="I203" s="304">
        <v>19</v>
      </c>
      <c r="J203" s="306">
        <v>1</v>
      </c>
      <c r="K203" s="306">
        <v>-2</v>
      </c>
    </row>
    <row r="204" spans="1:11" ht="15.75">
      <c r="A204" s="309" t="s">
        <v>389</v>
      </c>
      <c r="B204" s="310">
        <v>78</v>
      </c>
      <c r="C204" s="308"/>
      <c r="D204" s="107"/>
      <c r="E204" s="306">
        <v>1</v>
      </c>
      <c r="F204" s="107"/>
      <c r="G204" s="107" t="s">
        <v>390</v>
      </c>
      <c r="H204" s="107">
        <v>363</v>
      </c>
      <c r="I204" s="304">
        <v>19</v>
      </c>
      <c r="J204" s="306">
        <v>1</v>
      </c>
      <c r="K204" s="306">
        <v>-2</v>
      </c>
    </row>
    <row r="205" spans="1:11" ht="15.75">
      <c r="A205" s="309" t="s">
        <v>391</v>
      </c>
      <c r="B205" s="310">
        <v>99</v>
      </c>
      <c r="C205" s="308"/>
      <c r="D205" s="107"/>
      <c r="E205" s="306">
        <v>3</v>
      </c>
      <c r="F205" s="107"/>
      <c r="G205" s="107" t="s">
        <v>392</v>
      </c>
      <c r="H205" s="107">
        <v>336</v>
      </c>
      <c r="I205" s="304">
        <v>19</v>
      </c>
      <c r="J205" s="306">
        <v>2</v>
      </c>
      <c r="K205" s="306">
        <v>-2</v>
      </c>
    </row>
    <row r="206" spans="1:11" ht="15.75">
      <c r="A206" s="309" t="s">
        <v>393</v>
      </c>
      <c r="B206" s="310">
        <v>78</v>
      </c>
      <c r="C206" s="308"/>
      <c r="D206" s="107"/>
      <c r="E206" s="306">
        <v>2</v>
      </c>
      <c r="F206" s="107"/>
      <c r="G206" s="107" t="s">
        <v>394</v>
      </c>
      <c r="H206" s="107">
        <v>229</v>
      </c>
      <c r="I206" s="304">
        <v>19</v>
      </c>
      <c r="J206" s="306">
        <v>4</v>
      </c>
      <c r="K206" s="306">
        <v>-2</v>
      </c>
    </row>
    <row r="207" spans="1:11" ht="15.75">
      <c r="A207" s="309" t="s">
        <v>395</v>
      </c>
      <c r="B207" s="310">
        <v>91</v>
      </c>
      <c r="C207" s="308"/>
      <c r="D207" s="107"/>
      <c r="E207" s="306">
        <v>2</v>
      </c>
      <c r="F207" s="107"/>
      <c r="G207" s="107" t="s">
        <v>396</v>
      </c>
      <c r="H207" s="107">
        <v>248</v>
      </c>
      <c r="I207" s="304">
        <v>19</v>
      </c>
      <c r="J207" s="306">
        <v>4</v>
      </c>
      <c r="K207" s="306">
        <v>-2</v>
      </c>
    </row>
    <row r="208" spans="1:11" ht="15.75">
      <c r="A208" s="309" t="s">
        <v>397</v>
      </c>
      <c r="B208" s="310">
        <v>70</v>
      </c>
      <c r="C208" s="308"/>
      <c r="D208" s="107"/>
      <c r="E208" s="306">
        <v>3</v>
      </c>
      <c r="F208" s="107"/>
      <c r="G208" s="107" t="s">
        <v>398</v>
      </c>
      <c r="H208" s="107">
        <v>195</v>
      </c>
      <c r="I208" s="304">
        <v>19</v>
      </c>
      <c r="J208" s="306">
        <v>2</v>
      </c>
      <c r="K208" s="306">
        <v>-2</v>
      </c>
    </row>
    <row r="209" spans="1:11" ht="15.75">
      <c r="A209" s="309" t="s">
        <v>399</v>
      </c>
      <c r="B209" s="310">
        <v>143</v>
      </c>
      <c r="C209" s="308"/>
      <c r="D209" s="107"/>
      <c r="E209" s="306">
        <v>1</v>
      </c>
      <c r="F209" s="107"/>
      <c r="G209" s="107" t="s">
        <v>400</v>
      </c>
      <c r="H209" s="107">
        <v>218</v>
      </c>
      <c r="I209" s="304">
        <v>19</v>
      </c>
      <c r="J209" s="306">
        <v>1</v>
      </c>
      <c r="K209" s="306">
        <v>-2</v>
      </c>
    </row>
    <row r="210" spans="1:11" ht="15.75">
      <c r="A210" s="309" t="s">
        <v>401</v>
      </c>
      <c r="B210" s="310">
        <v>98</v>
      </c>
      <c r="C210" s="308"/>
      <c r="D210" s="107"/>
      <c r="E210" s="306">
        <v>1</v>
      </c>
      <c r="F210" s="107"/>
      <c r="G210" s="107" t="s">
        <v>402</v>
      </c>
      <c r="H210" s="107">
        <v>279</v>
      </c>
      <c r="I210" s="304">
        <v>20</v>
      </c>
      <c r="J210" s="306">
        <v>2</v>
      </c>
      <c r="K210" s="306">
        <v>-2</v>
      </c>
    </row>
    <row r="211" spans="1:11" ht="15.75">
      <c r="A211" s="309" t="s">
        <v>403</v>
      </c>
      <c r="B211" s="310">
        <v>115</v>
      </c>
      <c r="C211" s="308"/>
      <c r="D211" s="107"/>
      <c r="E211" s="306">
        <v>3</v>
      </c>
      <c r="F211" s="107"/>
      <c r="G211" s="107" t="s">
        <v>404</v>
      </c>
      <c r="H211" s="107">
        <v>374</v>
      </c>
      <c r="I211" s="304">
        <v>19</v>
      </c>
      <c r="J211" s="306">
        <v>3</v>
      </c>
      <c r="K211" s="306">
        <v>-2</v>
      </c>
    </row>
    <row r="212" spans="1:11" ht="15.75">
      <c r="A212" s="309" t="s">
        <v>405</v>
      </c>
      <c r="B212" s="310">
        <v>78</v>
      </c>
      <c r="C212" s="308"/>
      <c r="D212" s="107"/>
      <c r="E212" s="306">
        <v>2</v>
      </c>
      <c r="F212" s="107"/>
      <c r="G212" s="107" t="s">
        <v>406</v>
      </c>
      <c r="H212" s="107">
        <v>345</v>
      </c>
      <c r="I212" s="304">
        <v>19</v>
      </c>
      <c r="J212" s="306">
        <v>3</v>
      </c>
      <c r="K212" s="306">
        <v>-2</v>
      </c>
    </row>
    <row r="213" spans="1:11" ht="15.75">
      <c r="A213" s="309" t="s">
        <v>407</v>
      </c>
      <c r="B213" s="310">
        <v>67</v>
      </c>
      <c r="C213" s="308"/>
      <c r="D213" s="107"/>
      <c r="E213" s="306">
        <v>4</v>
      </c>
      <c r="F213" s="107"/>
      <c r="G213" s="107" t="s">
        <v>408</v>
      </c>
      <c r="H213" s="107">
        <v>265</v>
      </c>
      <c r="I213" s="304">
        <v>19</v>
      </c>
      <c r="J213" s="306">
        <v>2</v>
      </c>
      <c r="K213" s="306">
        <v>-2</v>
      </c>
    </row>
    <row r="214" spans="1:11" ht="15.75">
      <c r="A214" s="309" t="s">
        <v>409</v>
      </c>
      <c r="B214" s="310">
        <v>132</v>
      </c>
      <c r="C214" s="308"/>
      <c r="D214" s="107"/>
      <c r="E214" s="306">
        <v>2</v>
      </c>
      <c r="F214" s="107"/>
      <c r="G214" s="107" t="s">
        <v>410</v>
      </c>
      <c r="H214" s="107">
        <v>427</v>
      </c>
      <c r="I214" s="304">
        <v>19</v>
      </c>
      <c r="J214" s="306">
        <v>2</v>
      </c>
      <c r="K214" s="306">
        <v>-2</v>
      </c>
    </row>
    <row r="215" spans="1:11" ht="15.75">
      <c r="A215" s="309" t="s">
        <v>411</v>
      </c>
      <c r="B215" s="310">
        <v>116</v>
      </c>
      <c r="C215" s="308"/>
      <c r="D215" s="107"/>
      <c r="E215" s="306">
        <v>3</v>
      </c>
      <c r="F215" s="107"/>
      <c r="G215" s="107" t="s">
        <v>412</v>
      </c>
      <c r="H215" s="107">
        <v>204</v>
      </c>
      <c r="I215" s="304">
        <v>19</v>
      </c>
      <c r="J215" s="306">
        <v>1</v>
      </c>
      <c r="K215" s="306">
        <v>-2</v>
      </c>
    </row>
    <row r="216" spans="1:11" ht="15.75">
      <c r="A216" s="309" t="s">
        <v>413</v>
      </c>
      <c r="B216" s="310">
        <v>100</v>
      </c>
      <c r="C216" s="308"/>
      <c r="D216" s="107"/>
      <c r="E216" s="306">
        <v>4</v>
      </c>
      <c r="F216" s="107"/>
      <c r="G216" s="107" t="s">
        <v>414</v>
      </c>
      <c r="H216" s="107">
        <v>218</v>
      </c>
      <c r="I216" s="304">
        <v>19</v>
      </c>
      <c r="J216" s="306">
        <v>6</v>
      </c>
      <c r="K216" s="306">
        <v>-2</v>
      </c>
    </row>
    <row r="217" spans="1:11" ht="15.75">
      <c r="A217" s="309" t="s">
        <v>415</v>
      </c>
      <c r="B217" s="310">
        <v>152</v>
      </c>
      <c r="C217" s="308"/>
      <c r="D217" s="107"/>
      <c r="E217" s="306">
        <v>2</v>
      </c>
      <c r="F217" s="107"/>
      <c r="G217" s="107" t="s">
        <v>416</v>
      </c>
      <c r="H217" s="107">
        <v>363</v>
      </c>
      <c r="I217" s="304">
        <v>19</v>
      </c>
      <c r="J217" s="306">
        <v>2</v>
      </c>
      <c r="K217" s="306">
        <v>-2</v>
      </c>
    </row>
    <row r="218" spans="1:11" ht="15.75">
      <c r="A218" s="309" t="s">
        <v>417</v>
      </c>
      <c r="B218" s="310">
        <v>149</v>
      </c>
      <c r="C218" s="308"/>
      <c r="D218" s="107"/>
      <c r="E218" s="306">
        <v>1</v>
      </c>
      <c r="F218" s="107"/>
      <c r="G218" s="107" t="s">
        <v>418</v>
      </c>
      <c r="H218" s="107">
        <v>337</v>
      </c>
      <c r="I218" s="304">
        <v>19</v>
      </c>
      <c r="J218" s="306">
        <v>2</v>
      </c>
      <c r="K218" s="306">
        <v>-2</v>
      </c>
    </row>
    <row r="219" spans="1:11" ht="15.75">
      <c r="A219" s="309" t="s">
        <v>419</v>
      </c>
      <c r="B219" s="310">
        <v>68</v>
      </c>
      <c r="C219" s="308"/>
      <c r="D219" s="107"/>
      <c r="E219" s="306">
        <v>3</v>
      </c>
      <c r="F219" s="107"/>
      <c r="G219" s="107" t="s">
        <v>420</v>
      </c>
      <c r="H219" s="107">
        <v>244</v>
      </c>
      <c r="I219" s="304">
        <v>19</v>
      </c>
      <c r="J219" s="306">
        <v>2</v>
      </c>
      <c r="K219" s="306">
        <v>-2</v>
      </c>
    </row>
    <row r="220" spans="1:11" ht="15.75">
      <c r="A220" s="309" t="s">
        <v>421</v>
      </c>
      <c r="B220" s="310">
        <v>65</v>
      </c>
      <c r="C220" s="308"/>
      <c r="D220" s="107"/>
      <c r="E220" s="306">
        <v>4</v>
      </c>
      <c r="F220" s="107"/>
      <c r="G220" s="107" t="s">
        <v>422</v>
      </c>
      <c r="H220" s="107">
        <v>260</v>
      </c>
      <c r="I220" s="304">
        <v>19</v>
      </c>
      <c r="J220" s="306">
        <v>1</v>
      </c>
      <c r="K220" s="306">
        <v>-2</v>
      </c>
    </row>
    <row r="221" spans="1:11" ht="15.75">
      <c r="A221" s="309" t="s">
        <v>423</v>
      </c>
      <c r="B221" s="310">
        <v>90</v>
      </c>
      <c r="C221" s="308"/>
      <c r="D221" s="107"/>
      <c r="E221" s="306">
        <v>3</v>
      </c>
      <c r="F221" s="107"/>
      <c r="G221" s="107" t="s">
        <v>424</v>
      </c>
      <c r="H221" s="107">
        <v>419</v>
      </c>
      <c r="I221" s="304">
        <v>19</v>
      </c>
      <c r="J221" s="306">
        <v>2</v>
      </c>
      <c r="K221" s="306">
        <v>-2</v>
      </c>
    </row>
    <row r="222" spans="1:11" ht="14.25">
      <c r="A222" s="309" t="s">
        <v>425</v>
      </c>
      <c r="B222" s="310">
        <v>83</v>
      </c>
      <c r="C222" s="308"/>
      <c r="D222" s="107"/>
      <c r="E222" s="306">
        <v>3</v>
      </c>
      <c r="F222" s="107"/>
      <c r="G222" s="107" t="s">
        <v>426</v>
      </c>
      <c r="H222" s="107">
        <v>220</v>
      </c>
      <c r="I222" s="304">
        <v>19</v>
      </c>
      <c r="J222" s="306">
        <v>1</v>
      </c>
      <c r="K222" s="306">
        <v>-2</v>
      </c>
    </row>
    <row r="223" spans="1:11" ht="15.75">
      <c r="A223" s="309" t="s">
        <v>427</v>
      </c>
      <c r="B223" s="310">
        <v>113</v>
      </c>
      <c r="C223" s="308"/>
      <c r="D223" s="107"/>
      <c r="E223" s="306">
        <v>3</v>
      </c>
      <c r="F223" s="107"/>
      <c r="G223" s="107" t="s">
        <v>428</v>
      </c>
      <c r="H223" s="107">
        <v>383</v>
      </c>
      <c r="I223" s="304">
        <v>19</v>
      </c>
      <c r="J223" s="306">
        <v>3</v>
      </c>
      <c r="K223" s="306">
        <v>-2</v>
      </c>
    </row>
    <row r="224" spans="1:11" ht="15.75">
      <c r="A224" s="309" t="s">
        <v>429</v>
      </c>
      <c r="B224" s="310">
        <v>74</v>
      </c>
      <c r="C224" s="308"/>
      <c r="D224" s="107"/>
      <c r="E224" s="306">
        <v>4</v>
      </c>
      <c r="F224" s="107"/>
      <c r="G224" s="107" t="s">
        <v>430</v>
      </c>
      <c r="H224" s="107">
        <v>353</v>
      </c>
      <c r="I224" s="304">
        <v>19</v>
      </c>
      <c r="J224" s="306">
        <v>3</v>
      </c>
      <c r="K224" s="306">
        <v>-2</v>
      </c>
    </row>
    <row r="225" spans="1:11" ht="15.75">
      <c r="A225" s="309" t="s">
        <v>431</v>
      </c>
      <c r="B225" s="310">
        <v>127</v>
      </c>
      <c r="C225" s="308"/>
      <c r="D225" s="107"/>
      <c r="E225" s="306">
        <v>2</v>
      </c>
      <c r="F225" s="107"/>
      <c r="G225" s="107" t="s">
        <v>432</v>
      </c>
      <c r="H225" s="107">
        <v>430</v>
      </c>
      <c r="I225" s="304">
        <v>19</v>
      </c>
      <c r="J225" s="306">
        <v>1</v>
      </c>
      <c r="K225" s="306">
        <v>-2</v>
      </c>
    </row>
    <row r="226" spans="1:11" ht="15.75">
      <c r="A226" s="309" t="s">
        <v>433</v>
      </c>
      <c r="B226" s="310">
        <v>109</v>
      </c>
      <c r="C226" s="308"/>
      <c r="D226" s="107"/>
      <c r="E226" s="306">
        <v>3</v>
      </c>
      <c r="F226" s="107"/>
      <c r="G226" s="107" t="s">
        <v>434</v>
      </c>
      <c r="H226" s="107">
        <v>238</v>
      </c>
      <c r="I226" s="304">
        <v>19</v>
      </c>
      <c r="J226" s="306">
        <v>2</v>
      </c>
      <c r="K226" s="306">
        <v>-2</v>
      </c>
    </row>
    <row r="227" spans="1:11" ht="15.75">
      <c r="A227" s="309" t="s">
        <v>435</v>
      </c>
      <c r="B227" s="310">
        <v>89</v>
      </c>
      <c r="C227" s="308"/>
      <c r="D227" s="107"/>
      <c r="E227" s="306">
        <v>4</v>
      </c>
      <c r="F227" s="107"/>
      <c r="G227" s="107" t="s">
        <v>436</v>
      </c>
      <c r="H227" s="107">
        <v>424</v>
      </c>
      <c r="I227" s="304">
        <v>19</v>
      </c>
      <c r="J227" s="306">
        <v>1</v>
      </c>
      <c r="K227" s="306">
        <v>-2</v>
      </c>
    </row>
    <row r="228" spans="1:11" ht="15.75">
      <c r="A228" s="309" t="s">
        <v>437</v>
      </c>
      <c r="B228" s="310">
        <v>110</v>
      </c>
      <c r="C228" s="308"/>
      <c r="D228" s="107"/>
      <c r="E228" s="306">
        <v>4</v>
      </c>
      <c r="F228" s="107"/>
      <c r="G228" s="107" t="s">
        <v>438</v>
      </c>
      <c r="H228" s="107">
        <v>360</v>
      </c>
      <c r="I228" s="304">
        <v>19</v>
      </c>
      <c r="J228" s="306">
        <v>1</v>
      </c>
      <c r="K228" s="306">
        <v>-2</v>
      </c>
    </row>
    <row r="229" spans="1:11" ht="15.75">
      <c r="A229" s="309" t="s">
        <v>439</v>
      </c>
      <c r="B229" s="310">
        <v>80</v>
      </c>
      <c r="C229" s="308"/>
      <c r="D229" s="107"/>
      <c r="E229" s="306">
        <v>2</v>
      </c>
      <c r="F229" s="107"/>
      <c r="G229" s="107" t="s">
        <v>440</v>
      </c>
      <c r="H229" s="107">
        <v>263</v>
      </c>
      <c r="I229" s="304">
        <v>19</v>
      </c>
      <c r="J229" s="306">
        <v>3</v>
      </c>
      <c r="K229" s="306">
        <v>-2</v>
      </c>
    </row>
    <row r="230" spans="1:11" ht="15.75">
      <c r="A230" s="309" t="s">
        <v>441</v>
      </c>
      <c r="B230" s="310">
        <v>69</v>
      </c>
      <c r="C230" s="308"/>
      <c r="D230" s="107"/>
      <c r="E230" s="306">
        <v>3</v>
      </c>
      <c r="F230" s="107"/>
      <c r="G230" s="107" t="s">
        <v>442</v>
      </c>
      <c r="H230" s="107">
        <v>356</v>
      </c>
      <c r="I230" s="304">
        <v>19</v>
      </c>
      <c r="J230" s="306">
        <v>2</v>
      </c>
      <c r="K230" s="306">
        <v>-2</v>
      </c>
    </row>
    <row r="231" spans="1:11" ht="15.75">
      <c r="A231" s="309" t="s">
        <v>443</v>
      </c>
      <c r="B231" s="310">
        <v>64</v>
      </c>
      <c r="C231" s="308"/>
      <c r="D231" s="107"/>
      <c r="E231" s="306">
        <v>4</v>
      </c>
      <c r="F231" s="107"/>
      <c r="G231" s="107" t="s">
        <v>444</v>
      </c>
      <c r="H231" s="107">
        <v>335</v>
      </c>
      <c r="I231" s="304">
        <v>19</v>
      </c>
      <c r="J231" s="306">
        <v>3</v>
      </c>
      <c r="K231" s="306">
        <v>-2</v>
      </c>
    </row>
    <row r="232" spans="1:11" ht="15.75">
      <c r="A232" s="309" t="s">
        <v>445</v>
      </c>
      <c r="B232" s="310">
        <v>149</v>
      </c>
      <c r="C232" s="308"/>
      <c r="D232" s="107"/>
      <c r="E232" s="306">
        <v>1</v>
      </c>
      <c r="F232" s="107"/>
      <c r="G232" s="107" t="s">
        <v>446</v>
      </c>
      <c r="H232" s="107">
        <v>252</v>
      </c>
      <c r="I232" s="304">
        <v>19</v>
      </c>
      <c r="J232" s="306">
        <v>4</v>
      </c>
      <c r="K232" s="306">
        <v>-2</v>
      </c>
    </row>
    <row r="233" spans="1:11" ht="15.75">
      <c r="A233" s="309" t="s">
        <v>447</v>
      </c>
      <c r="B233" s="310">
        <v>105</v>
      </c>
      <c r="C233" s="308"/>
      <c r="D233" s="107"/>
      <c r="E233" s="306">
        <v>3</v>
      </c>
      <c r="F233" s="107"/>
      <c r="G233" s="107" t="s">
        <v>448</v>
      </c>
      <c r="H233" s="107">
        <v>354</v>
      </c>
      <c r="I233" s="304">
        <v>19</v>
      </c>
      <c r="J233" s="306">
        <v>1</v>
      </c>
      <c r="K233" s="306">
        <v>-2</v>
      </c>
    </row>
    <row r="234" spans="1:11" ht="15.75">
      <c r="A234" s="309" t="s">
        <v>449</v>
      </c>
      <c r="B234" s="310">
        <v>104</v>
      </c>
      <c r="C234" s="308"/>
      <c r="D234" s="107"/>
      <c r="E234" s="306">
        <v>3</v>
      </c>
      <c r="F234" s="107"/>
      <c r="G234" s="107" t="s">
        <v>450</v>
      </c>
      <c r="H234" s="107">
        <v>256</v>
      </c>
      <c r="I234" s="304">
        <v>19</v>
      </c>
      <c r="J234" s="306">
        <v>3</v>
      </c>
      <c r="K234" s="306">
        <v>-2</v>
      </c>
    </row>
    <row r="235" spans="1:11" ht="15.75">
      <c r="A235" s="309" t="s">
        <v>451</v>
      </c>
      <c r="B235" s="310">
        <v>105</v>
      </c>
      <c r="C235" s="308"/>
      <c r="D235" s="107"/>
      <c r="E235" s="306">
        <v>4</v>
      </c>
      <c r="F235" s="107"/>
      <c r="G235" s="107" t="s">
        <v>452</v>
      </c>
      <c r="H235" s="107">
        <v>204</v>
      </c>
      <c r="I235" s="304">
        <v>19</v>
      </c>
      <c r="J235" s="306">
        <v>1</v>
      </c>
      <c r="K235" s="306">
        <v>-2</v>
      </c>
    </row>
    <row r="236" spans="1:11" ht="15.75">
      <c r="A236" s="309" t="s">
        <v>453</v>
      </c>
      <c r="B236" s="310">
        <v>72</v>
      </c>
      <c r="C236" s="308"/>
      <c r="D236" s="107"/>
      <c r="E236" s="306">
        <v>2</v>
      </c>
      <c r="F236" s="107"/>
      <c r="G236" s="107" t="s">
        <v>454</v>
      </c>
      <c r="H236" s="107">
        <v>363</v>
      </c>
      <c r="I236" s="304">
        <v>19</v>
      </c>
      <c r="J236" s="306">
        <v>3</v>
      </c>
      <c r="K236" s="306">
        <v>-2</v>
      </c>
    </row>
    <row r="237" spans="1:11" ht="15.75">
      <c r="A237" s="309" t="s">
        <v>455</v>
      </c>
      <c r="B237" s="310">
        <v>65</v>
      </c>
      <c r="C237" s="308"/>
      <c r="D237" s="107"/>
      <c r="E237" s="306">
        <v>3</v>
      </c>
      <c r="F237" s="107"/>
      <c r="G237" s="107" t="s">
        <v>456</v>
      </c>
      <c r="H237" s="107">
        <v>339</v>
      </c>
      <c r="I237" s="304">
        <v>19</v>
      </c>
      <c r="J237" s="306">
        <v>3</v>
      </c>
      <c r="K237" s="306">
        <v>-2</v>
      </c>
    </row>
    <row r="238" spans="1:11" ht="15.75">
      <c r="A238" s="309" t="s">
        <v>457</v>
      </c>
      <c r="B238" s="310">
        <v>61</v>
      </c>
      <c r="C238" s="308"/>
      <c r="D238" s="107"/>
      <c r="E238" s="306">
        <v>4</v>
      </c>
      <c r="F238" s="107"/>
      <c r="G238" s="107" t="s">
        <v>458</v>
      </c>
      <c r="H238" s="107">
        <v>237</v>
      </c>
      <c r="I238" s="304">
        <v>19</v>
      </c>
      <c r="J238" s="306">
        <v>2</v>
      </c>
      <c r="K238" s="306">
        <v>-2</v>
      </c>
    </row>
    <row r="239" spans="1:11" ht="15.75">
      <c r="A239" s="309" t="s">
        <v>459</v>
      </c>
      <c r="B239" s="310">
        <v>106</v>
      </c>
      <c r="C239" s="308"/>
      <c r="D239" s="107"/>
      <c r="E239" s="306">
        <v>3</v>
      </c>
      <c r="F239" s="107"/>
      <c r="G239" s="107" t="s">
        <v>460</v>
      </c>
      <c r="H239" s="107">
        <v>334</v>
      </c>
      <c r="I239" s="304">
        <v>19</v>
      </c>
      <c r="J239" s="306">
        <v>1</v>
      </c>
      <c r="K239" s="306">
        <v>-2</v>
      </c>
    </row>
    <row r="240" spans="1:11" ht="15.75">
      <c r="A240" s="309" t="s">
        <v>461</v>
      </c>
      <c r="B240" s="310">
        <v>100</v>
      </c>
      <c r="C240" s="308"/>
      <c r="D240" s="107"/>
      <c r="E240" s="306">
        <v>3</v>
      </c>
      <c r="F240" s="107"/>
      <c r="G240" s="107" t="s">
        <v>462</v>
      </c>
      <c r="H240" s="107">
        <v>335</v>
      </c>
      <c r="I240" s="304">
        <v>19</v>
      </c>
      <c r="J240" s="306">
        <v>1</v>
      </c>
      <c r="K240" s="306">
        <v>-2</v>
      </c>
    </row>
    <row r="241" spans="1:11" ht="15.75">
      <c r="A241" s="309" t="s">
        <v>463</v>
      </c>
      <c r="B241" s="310">
        <v>83</v>
      </c>
      <c r="C241" s="308"/>
      <c r="D241" s="107"/>
      <c r="E241" s="306">
        <v>2</v>
      </c>
      <c r="F241" s="107"/>
      <c r="G241" s="107" t="s">
        <v>464</v>
      </c>
      <c r="H241" s="107">
        <v>306</v>
      </c>
      <c r="I241" s="304">
        <v>19</v>
      </c>
      <c r="J241" s="306">
        <v>1</v>
      </c>
      <c r="K241" s="306">
        <v>-2</v>
      </c>
    </row>
    <row r="242" spans="1:11" ht="15.75">
      <c r="A242" s="309" t="s">
        <v>465</v>
      </c>
      <c r="B242" s="310">
        <v>87</v>
      </c>
      <c r="C242" s="308"/>
      <c r="D242" s="107"/>
      <c r="E242" s="306">
        <v>4</v>
      </c>
      <c r="F242" s="107"/>
      <c r="G242" s="107" t="s">
        <v>466</v>
      </c>
      <c r="H242" s="107">
        <v>219</v>
      </c>
      <c r="I242" s="304">
        <v>19</v>
      </c>
      <c r="J242" s="306">
        <v>2</v>
      </c>
      <c r="K242" s="306">
        <v>-2</v>
      </c>
    </row>
    <row r="243" spans="1:11" ht="15.75">
      <c r="A243" s="107"/>
      <c r="B243" s="107"/>
      <c r="C243" s="107"/>
      <c r="D243" s="107"/>
      <c r="E243" s="107"/>
      <c r="F243" s="107"/>
      <c r="G243" s="107" t="s">
        <v>467</v>
      </c>
      <c r="H243" s="107">
        <v>384</v>
      </c>
      <c r="I243" s="304">
        <v>19</v>
      </c>
      <c r="J243" s="306">
        <v>1</v>
      </c>
      <c r="K243" s="306">
        <v>-2</v>
      </c>
    </row>
    <row r="244" spans="1:11" ht="15.75">
      <c r="A244" s="107"/>
      <c r="B244" s="107"/>
      <c r="C244" s="107"/>
      <c r="D244" s="107"/>
      <c r="E244" s="107"/>
      <c r="F244" s="107"/>
      <c r="G244" s="107" t="s">
        <v>468</v>
      </c>
      <c r="H244" s="107">
        <v>334</v>
      </c>
      <c r="I244" s="304">
        <v>19</v>
      </c>
      <c r="J244" s="306">
        <v>1</v>
      </c>
      <c r="K244" s="306">
        <v>-2</v>
      </c>
    </row>
    <row r="245" spans="1:11" ht="15.75">
      <c r="A245" s="107"/>
      <c r="B245" s="107"/>
      <c r="C245" s="107"/>
      <c r="D245" s="107"/>
      <c r="E245" s="107"/>
      <c r="F245" s="107"/>
      <c r="G245" s="107" t="s">
        <v>469</v>
      </c>
      <c r="H245" s="107">
        <v>306</v>
      </c>
      <c r="I245" s="304">
        <v>19</v>
      </c>
      <c r="J245" s="306">
        <v>1</v>
      </c>
      <c r="K245" s="306">
        <v>-2</v>
      </c>
    </row>
    <row r="246" spans="1:11" ht="15.75">
      <c r="A246" s="107"/>
      <c r="B246" s="107"/>
      <c r="C246" s="107"/>
      <c r="D246" s="107"/>
      <c r="E246" s="107"/>
      <c r="F246" s="107"/>
      <c r="G246" s="107" t="s">
        <v>470</v>
      </c>
      <c r="H246" s="107">
        <v>348</v>
      </c>
      <c r="I246" s="304">
        <v>19</v>
      </c>
      <c r="J246" s="306">
        <v>2</v>
      </c>
      <c r="K246" s="306">
        <v>-2</v>
      </c>
    </row>
    <row r="247" spans="1:11" ht="15.75">
      <c r="A247" s="107"/>
      <c r="B247" s="107"/>
      <c r="C247" s="107"/>
      <c r="D247" s="107"/>
      <c r="E247" s="107"/>
      <c r="F247" s="107"/>
      <c r="G247" s="107" t="s">
        <v>471</v>
      </c>
      <c r="H247" s="107">
        <v>258</v>
      </c>
      <c r="I247" s="304">
        <v>19</v>
      </c>
      <c r="J247" s="306">
        <v>2</v>
      </c>
      <c r="K247" s="306">
        <v>-2</v>
      </c>
    </row>
    <row r="248" spans="1:11" ht="15.75">
      <c r="A248" s="107"/>
      <c r="B248" s="107"/>
      <c r="C248" s="107"/>
      <c r="D248" s="107"/>
      <c r="E248" s="107"/>
      <c r="F248" s="107"/>
      <c r="G248" s="107" t="s">
        <v>472</v>
      </c>
      <c r="H248" s="107">
        <v>256</v>
      </c>
      <c r="I248" s="304">
        <v>42</v>
      </c>
      <c r="J248" s="306">
        <v>1</v>
      </c>
      <c r="K248" s="306">
        <v>-3</v>
      </c>
    </row>
    <row r="249" spans="1:11" ht="15.75">
      <c r="A249" s="107"/>
      <c r="B249" s="107"/>
      <c r="C249" s="107"/>
      <c r="D249" s="107"/>
      <c r="E249" s="107"/>
      <c r="F249" s="107"/>
      <c r="G249" s="107" t="s">
        <v>473</v>
      </c>
      <c r="H249" s="107">
        <v>237</v>
      </c>
      <c r="I249" s="304">
        <v>42</v>
      </c>
      <c r="J249" s="306">
        <v>2</v>
      </c>
      <c r="K249" s="306">
        <v>-3</v>
      </c>
    </row>
    <row r="250" spans="1:11" ht="15.75">
      <c r="A250" s="107"/>
      <c r="B250" s="107"/>
      <c r="C250" s="107"/>
      <c r="D250" s="107"/>
      <c r="E250" s="107"/>
      <c r="F250" s="107"/>
      <c r="G250" s="107" t="s">
        <v>474</v>
      </c>
      <c r="H250" s="107">
        <v>374</v>
      </c>
      <c r="I250" s="304">
        <v>38</v>
      </c>
      <c r="J250" s="306">
        <v>2</v>
      </c>
      <c r="K250" s="306">
        <v>-4</v>
      </c>
    </row>
    <row r="251" spans="1:11" ht="15.75">
      <c r="A251" s="107"/>
      <c r="B251" s="107"/>
      <c r="C251" s="107"/>
      <c r="D251" s="107"/>
      <c r="E251" s="107"/>
      <c r="F251" s="107"/>
      <c r="G251" s="107" t="s">
        <v>475</v>
      </c>
      <c r="H251" s="107">
        <v>352</v>
      </c>
      <c r="I251" s="304">
        <v>38</v>
      </c>
      <c r="J251" s="306">
        <v>2</v>
      </c>
      <c r="K251" s="306">
        <v>-4</v>
      </c>
    </row>
    <row r="252" spans="1:11" ht="15.75">
      <c r="A252" s="107"/>
      <c r="B252" s="107"/>
      <c r="C252" s="107"/>
      <c r="D252" s="107"/>
      <c r="E252" s="107"/>
      <c r="F252" s="107"/>
      <c r="G252" s="107" t="s">
        <v>476</v>
      </c>
      <c r="H252" s="107">
        <v>278</v>
      </c>
      <c r="I252" s="304">
        <v>38</v>
      </c>
      <c r="J252" s="306">
        <v>1</v>
      </c>
      <c r="K252" s="306">
        <v>-3</v>
      </c>
    </row>
    <row r="253" spans="1:11" ht="15.75">
      <c r="A253" s="107"/>
      <c r="B253" s="107"/>
      <c r="C253" s="107"/>
      <c r="D253" s="107"/>
      <c r="E253" s="107"/>
      <c r="F253" s="107"/>
      <c r="G253" s="107" t="s">
        <v>477</v>
      </c>
      <c r="H253" s="107">
        <v>282</v>
      </c>
      <c r="I253" s="304">
        <v>38</v>
      </c>
      <c r="J253" s="306">
        <v>1</v>
      </c>
      <c r="K253" s="306">
        <v>-3</v>
      </c>
    </row>
    <row r="254" spans="1:11" ht="15.75">
      <c r="A254" s="107"/>
      <c r="B254" s="107"/>
      <c r="C254" s="107"/>
      <c r="D254" s="107"/>
      <c r="E254" s="107"/>
      <c r="F254" s="107"/>
      <c r="G254" s="107" t="s">
        <v>478</v>
      </c>
      <c r="H254" s="107">
        <v>349</v>
      </c>
      <c r="I254" s="304">
        <v>38</v>
      </c>
      <c r="J254" s="306">
        <v>2</v>
      </c>
      <c r="K254" s="306">
        <v>-3</v>
      </c>
    </row>
    <row r="255" spans="1:11" ht="15.75">
      <c r="A255" s="107"/>
      <c r="B255" s="107"/>
      <c r="C255" s="107"/>
      <c r="D255" s="107"/>
      <c r="E255" s="107"/>
      <c r="F255" s="107"/>
      <c r="G255" s="107" t="s">
        <v>479</v>
      </c>
      <c r="H255" s="107">
        <v>343</v>
      </c>
      <c r="I255" s="304">
        <v>38</v>
      </c>
      <c r="J255" s="306">
        <v>3</v>
      </c>
      <c r="K255" s="306">
        <v>-3</v>
      </c>
    </row>
    <row r="256" spans="1:11" ht="15.75">
      <c r="A256" s="107"/>
      <c r="B256" s="107"/>
      <c r="C256" s="107"/>
      <c r="D256" s="107"/>
      <c r="E256" s="107"/>
      <c r="F256" s="107"/>
      <c r="G256" s="107" t="s">
        <v>480</v>
      </c>
      <c r="H256" s="107">
        <v>320</v>
      </c>
      <c r="I256" s="304">
        <v>38</v>
      </c>
      <c r="J256" s="306">
        <v>1</v>
      </c>
      <c r="K256" s="306">
        <v>-3</v>
      </c>
    </row>
    <row r="257" spans="1:11" ht="15.75">
      <c r="A257" s="107"/>
      <c r="B257" s="107"/>
      <c r="C257" s="107"/>
      <c r="D257" s="107"/>
      <c r="E257" s="107"/>
      <c r="F257" s="107"/>
      <c r="G257" s="107" t="s">
        <v>481</v>
      </c>
      <c r="H257" s="107">
        <v>258</v>
      </c>
      <c r="I257" s="304">
        <v>42</v>
      </c>
      <c r="J257" s="306">
        <v>4</v>
      </c>
      <c r="K257" s="306">
        <v>-3</v>
      </c>
    </row>
    <row r="258" spans="1:11" ht="15.75">
      <c r="A258" s="107"/>
      <c r="B258" s="107"/>
      <c r="C258" s="107"/>
      <c r="D258" s="107"/>
      <c r="E258" s="107"/>
      <c r="F258" s="107"/>
      <c r="G258" s="107" t="s">
        <v>482</v>
      </c>
      <c r="H258" s="107">
        <v>351</v>
      </c>
      <c r="I258" s="304">
        <v>38</v>
      </c>
      <c r="J258" s="306">
        <v>1</v>
      </c>
      <c r="K258" s="306">
        <v>-3</v>
      </c>
    </row>
    <row r="259" spans="1:11" ht="15.75">
      <c r="A259" s="107"/>
      <c r="B259" s="107"/>
      <c r="C259" s="107"/>
      <c r="D259" s="107"/>
      <c r="E259" s="107"/>
      <c r="F259" s="107"/>
      <c r="G259" s="107" t="s">
        <v>483</v>
      </c>
      <c r="H259" s="107">
        <v>254</v>
      </c>
      <c r="I259" s="304">
        <v>42</v>
      </c>
      <c r="J259" s="306">
        <v>1</v>
      </c>
      <c r="K259" s="306">
        <v>-3</v>
      </c>
    </row>
    <row r="260" spans="1:11" ht="15.75">
      <c r="A260" s="107"/>
      <c r="B260" s="107"/>
      <c r="C260" s="107"/>
      <c r="D260" s="107"/>
      <c r="E260" s="107"/>
      <c r="F260" s="107"/>
      <c r="G260" s="107" t="s">
        <v>484</v>
      </c>
      <c r="H260" s="107">
        <v>312</v>
      </c>
      <c r="I260" s="304">
        <v>38</v>
      </c>
      <c r="J260" s="306">
        <v>1</v>
      </c>
      <c r="K260" s="306">
        <v>-3</v>
      </c>
    </row>
    <row r="261" spans="1:11" ht="15.75">
      <c r="A261" s="107"/>
      <c r="B261" s="107"/>
      <c r="C261" s="107"/>
      <c r="D261" s="107"/>
      <c r="E261" s="107"/>
      <c r="F261" s="107"/>
      <c r="G261" s="107" t="s">
        <v>485</v>
      </c>
      <c r="H261" s="107">
        <v>347</v>
      </c>
      <c r="I261" s="304">
        <v>38</v>
      </c>
      <c r="J261" s="306">
        <v>4</v>
      </c>
      <c r="K261" s="306">
        <v>-3</v>
      </c>
    </row>
    <row r="262" spans="1:11" ht="15.75">
      <c r="A262" s="107"/>
      <c r="B262" s="107"/>
      <c r="C262" s="107"/>
      <c r="D262" s="107"/>
      <c r="E262" s="107"/>
      <c r="F262" s="107"/>
      <c r="G262" s="107" t="s">
        <v>486</v>
      </c>
      <c r="H262" s="107">
        <v>298</v>
      </c>
      <c r="I262" s="304">
        <v>42</v>
      </c>
      <c r="J262" s="306">
        <v>5</v>
      </c>
      <c r="K262" s="306">
        <v>-3</v>
      </c>
    </row>
    <row r="263" spans="1:11" ht="15.75">
      <c r="A263" s="107"/>
      <c r="B263" s="107"/>
      <c r="C263" s="107"/>
      <c r="D263" s="107"/>
      <c r="E263" s="107"/>
      <c r="F263" s="107"/>
      <c r="G263" s="107" t="s">
        <v>487</v>
      </c>
      <c r="H263" s="107">
        <v>277</v>
      </c>
      <c r="I263" s="304">
        <v>42</v>
      </c>
      <c r="J263" s="306">
        <v>1</v>
      </c>
      <c r="K263" s="306">
        <v>-3</v>
      </c>
    </row>
    <row r="264" spans="1:11" ht="15.75">
      <c r="A264" s="107"/>
      <c r="B264" s="107"/>
      <c r="C264" s="107"/>
      <c r="D264" s="107"/>
      <c r="E264" s="107"/>
      <c r="F264" s="107"/>
      <c r="G264" s="107" t="s">
        <v>488</v>
      </c>
      <c r="H264" s="107">
        <v>268</v>
      </c>
      <c r="I264" s="304">
        <v>38</v>
      </c>
      <c r="J264" s="306">
        <v>3</v>
      </c>
      <c r="K264" s="306">
        <v>-3</v>
      </c>
    </row>
    <row r="265" spans="1:11" ht="15.75">
      <c r="A265" s="107"/>
      <c r="B265" s="107"/>
      <c r="C265" s="107"/>
      <c r="D265" s="107"/>
      <c r="E265" s="107"/>
      <c r="F265" s="107"/>
      <c r="G265" s="107" t="s">
        <v>489</v>
      </c>
      <c r="H265" s="107">
        <v>347</v>
      </c>
      <c r="I265" s="304">
        <v>38</v>
      </c>
      <c r="J265" s="306">
        <v>1</v>
      </c>
      <c r="K265" s="306">
        <v>-3</v>
      </c>
    </row>
    <row r="266" spans="1:11" ht="15.75">
      <c r="A266" s="107"/>
      <c r="B266" s="107"/>
      <c r="C266" s="107"/>
      <c r="D266" s="107"/>
      <c r="E266" s="107"/>
      <c r="F266" s="107"/>
      <c r="G266" s="107" t="s">
        <v>490</v>
      </c>
      <c r="H266" s="107">
        <v>338</v>
      </c>
      <c r="I266" s="304">
        <v>38</v>
      </c>
      <c r="J266" s="306">
        <v>1</v>
      </c>
      <c r="K266" s="306">
        <v>-3</v>
      </c>
    </row>
    <row r="267" spans="1:11" ht="15.75">
      <c r="A267" s="107"/>
      <c r="B267" s="107"/>
      <c r="C267" s="107"/>
      <c r="D267" s="107"/>
      <c r="E267" s="107"/>
      <c r="F267" s="107"/>
      <c r="G267" s="107" t="s">
        <v>491</v>
      </c>
      <c r="H267" s="107">
        <v>350</v>
      </c>
      <c r="I267" s="304">
        <v>38</v>
      </c>
      <c r="J267" s="306">
        <v>1</v>
      </c>
      <c r="K267" s="306">
        <v>-3</v>
      </c>
    </row>
    <row r="268" spans="1:11" ht="15.75">
      <c r="A268" s="107"/>
      <c r="B268" s="107"/>
      <c r="C268" s="107"/>
      <c r="D268" s="107"/>
      <c r="E268" s="107"/>
      <c r="F268" s="107"/>
      <c r="G268" s="107" t="s">
        <v>492</v>
      </c>
      <c r="H268" s="107">
        <v>401</v>
      </c>
      <c r="I268" s="304">
        <v>42</v>
      </c>
      <c r="J268" s="306">
        <v>1</v>
      </c>
      <c r="K268" s="306">
        <v>-5</v>
      </c>
    </row>
    <row r="269" spans="1:11" ht="15.75">
      <c r="A269" s="107"/>
      <c r="B269" s="107"/>
      <c r="C269" s="107"/>
      <c r="D269" s="107"/>
      <c r="E269" s="107"/>
      <c r="F269" s="107"/>
      <c r="G269" s="107" t="s">
        <v>493</v>
      </c>
      <c r="H269" s="107">
        <v>349</v>
      </c>
      <c r="I269" s="304">
        <v>38</v>
      </c>
      <c r="J269" s="306">
        <v>1</v>
      </c>
      <c r="K269" s="306">
        <v>-4</v>
      </c>
    </row>
    <row r="270" spans="1:11" ht="14.25">
      <c r="A270" s="107"/>
      <c r="B270" s="107"/>
      <c r="C270" s="107"/>
      <c r="D270" s="107"/>
      <c r="E270" s="107"/>
      <c r="F270" s="107"/>
      <c r="G270" s="107" t="s">
        <v>494</v>
      </c>
      <c r="H270" s="107">
        <v>180</v>
      </c>
      <c r="I270" s="304">
        <v>42</v>
      </c>
      <c r="J270" s="306">
        <v>3</v>
      </c>
      <c r="K270" s="306">
        <v>-3</v>
      </c>
    </row>
    <row r="271" spans="1:11" ht="15.75">
      <c r="A271" s="107"/>
      <c r="B271" s="107"/>
      <c r="C271" s="107"/>
      <c r="D271" s="107"/>
      <c r="E271" s="107"/>
      <c r="F271" s="107"/>
      <c r="G271" s="107" t="s">
        <v>495</v>
      </c>
      <c r="H271" s="107">
        <v>342</v>
      </c>
      <c r="I271" s="304">
        <v>38</v>
      </c>
      <c r="J271" s="306">
        <v>1</v>
      </c>
      <c r="K271" s="306">
        <v>-3</v>
      </c>
    </row>
    <row r="272" spans="1:11" ht="15.75">
      <c r="A272" s="107"/>
      <c r="B272" s="107"/>
      <c r="C272" s="107"/>
      <c r="D272" s="107"/>
      <c r="E272" s="107"/>
      <c r="F272" s="107"/>
      <c r="G272" s="107" t="s">
        <v>496</v>
      </c>
      <c r="H272" s="107">
        <v>383</v>
      </c>
      <c r="I272" s="304">
        <v>38</v>
      </c>
      <c r="J272" s="306">
        <v>1</v>
      </c>
      <c r="K272" s="306">
        <v>-4</v>
      </c>
    </row>
    <row r="273" spans="1:11" ht="15.75">
      <c r="A273" s="107"/>
      <c r="B273" s="107"/>
      <c r="C273" s="107"/>
      <c r="D273" s="107"/>
      <c r="E273" s="107"/>
      <c r="F273" s="107"/>
      <c r="G273" s="107" t="s">
        <v>497</v>
      </c>
      <c r="H273" s="107">
        <v>250</v>
      </c>
      <c r="I273" s="304">
        <v>42</v>
      </c>
      <c r="J273" s="306">
        <v>1</v>
      </c>
      <c r="K273" s="306">
        <v>-3</v>
      </c>
    </row>
    <row r="274" spans="1:11" ht="14.25">
      <c r="A274" s="107"/>
      <c r="B274" s="107"/>
      <c r="C274" s="107"/>
      <c r="D274" s="107"/>
      <c r="E274" s="107"/>
      <c r="F274" s="107"/>
      <c r="G274" s="107" t="s">
        <v>498</v>
      </c>
      <c r="H274" s="107">
        <v>288</v>
      </c>
      <c r="I274" s="304">
        <v>38</v>
      </c>
      <c r="J274" s="306">
        <v>1</v>
      </c>
      <c r="K274" s="306">
        <v>-3</v>
      </c>
    </row>
    <row r="275" spans="1:11" ht="14.25">
      <c r="A275" s="107"/>
      <c r="B275" s="107"/>
      <c r="C275" s="107"/>
      <c r="D275" s="107"/>
      <c r="E275" s="107"/>
      <c r="F275" s="107"/>
      <c r="G275" s="107" t="s">
        <v>499</v>
      </c>
      <c r="H275" s="107">
        <v>224</v>
      </c>
      <c r="I275" s="304">
        <v>42</v>
      </c>
      <c r="J275" s="306">
        <v>3</v>
      </c>
      <c r="K275" s="306">
        <v>-3</v>
      </c>
    </row>
    <row r="276" spans="1:11" ht="15.75">
      <c r="A276" s="107"/>
      <c r="B276" s="107"/>
      <c r="C276" s="107"/>
      <c r="D276" s="107"/>
      <c r="E276" s="107"/>
      <c r="F276" s="107"/>
      <c r="G276" s="107" t="s">
        <v>500</v>
      </c>
      <c r="H276" s="107">
        <v>299</v>
      </c>
      <c r="I276" s="304">
        <v>42</v>
      </c>
      <c r="J276" s="306">
        <v>3</v>
      </c>
      <c r="K276" s="306">
        <v>-3</v>
      </c>
    </row>
    <row r="277" spans="1:11" ht="15.75">
      <c r="A277" s="107"/>
      <c r="B277" s="107"/>
      <c r="C277" s="107"/>
      <c r="D277" s="107"/>
      <c r="E277" s="107"/>
      <c r="F277" s="107"/>
      <c r="G277" s="107" t="s">
        <v>501</v>
      </c>
      <c r="H277" s="107">
        <v>230</v>
      </c>
      <c r="I277" s="304">
        <v>42</v>
      </c>
      <c r="J277" s="306">
        <v>1</v>
      </c>
      <c r="K277" s="306">
        <v>-3</v>
      </c>
    </row>
    <row r="278" spans="1:11" ht="15.75">
      <c r="A278" s="107"/>
      <c r="B278" s="107"/>
      <c r="C278" s="107"/>
      <c r="D278" s="107"/>
      <c r="E278" s="107"/>
      <c r="F278" s="107"/>
      <c r="G278" s="107" t="s">
        <v>502</v>
      </c>
      <c r="H278" s="107">
        <v>281</v>
      </c>
      <c r="I278" s="304">
        <v>38</v>
      </c>
      <c r="J278" s="306">
        <v>1</v>
      </c>
      <c r="K278" s="306">
        <v>-3</v>
      </c>
    </row>
    <row r="279" spans="1:11" ht="15.75">
      <c r="A279" s="107"/>
      <c r="B279" s="107"/>
      <c r="C279" s="107"/>
      <c r="D279" s="107"/>
      <c r="E279" s="107"/>
      <c r="F279" s="107"/>
      <c r="G279" s="107" t="s">
        <v>503</v>
      </c>
      <c r="H279" s="107">
        <v>345</v>
      </c>
      <c r="I279" s="304">
        <v>38</v>
      </c>
      <c r="J279" s="306">
        <v>3</v>
      </c>
      <c r="K279" s="306">
        <v>-3</v>
      </c>
    </row>
    <row r="280" spans="1:11" ht="15.75">
      <c r="A280" s="107"/>
      <c r="B280" s="107"/>
      <c r="C280" s="107"/>
      <c r="D280" s="107"/>
      <c r="E280" s="107"/>
      <c r="F280" s="107"/>
      <c r="G280" s="107" t="s">
        <v>504</v>
      </c>
      <c r="H280" s="107">
        <v>428</v>
      </c>
      <c r="I280" s="304">
        <v>42</v>
      </c>
      <c r="J280" s="306">
        <v>1</v>
      </c>
      <c r="K280" s="306">
        <v>-3</v>
      </c>
    </row>
    <row r="281" spans="1:11" ht="15.75">
      <c r="A281" s="107"/>
      <c r="B281" s="107"/>
      <c r="C281" s="107"/>
      <c r="D281" s="107"/>
      <c r="E281" s="107"/>
      <c r="F281" s="107"/>
      <c r="G281" s="107" t="s">
        <v>505</v>
      </c>
      <c r="H281" s="107">
        <v>284</v>
      </c>
      <c r="I281" s="304">
        <v>42</v>
      </c>
      <c r="J281" s="306">
        <v>1</v>
      </c>
      <c r="K281" s="306">
        <v>-3</v>
      </c>
    </row>
    <row r="282" spans="1:11" ht="15.75">
      <c r="A282" s="107"/>
      <c r="B282" s="107"/>
      <c r="C282" s="107"/>
      <c r="D282" s="107"/>
      <c r="E282" s="107"/>
      <c r="F282" s="107"/>
      <c r="G282" s="107" t="s">
        <v>506</v>
      </c>
      <c r="H282" s="107">
        <v>290</v>
      </c>
      <c r="I282" s="304">
        <v>38</v>
      </c>
      <c r="J282" s="306">
        <v>4</v>
      </c>
      <c r="K282" s="306">
        <v>-3</v>
      </c>
    </row>
    <row r="283" spans="1:11" ht="15.75">
      <c r="A283" s="107"/>
      <c r="B283" s="107"/>
      <c r="C283" s="107"/>
      <c r="D283" s="107"/>
      <c r="E283" s="107"/>
      <c r="F283" s="107"/>
      <c r="G283" s="107" t="s">
        <v>507</v>
      </c>
      <c r="H283" s="107">
        <v>410</v>
      </c>
      <c r="I283" s="304">
        <v>42</v>
      </c>
      <c r="J283" s="306">
        <v>1</v>
      </c>
      <c r="K283" s="306">
        <v>-5</v>
      </c>
    </row>
    <row r="284" spans="1:11" ht="15.75">
      <c r="A284" s="107"/>
      <c r="B284" s="107"/>
      <c r="C284" s="107"/>
      <c r="D284" s="107"/>
      <c r="E284" s="107"/>
      <c r="F284" s="107"/>
      <c r="G284" s="107" t="s">
        <v>508</v>
      </c>
      <c r="H284" s="107">
        <v>282</v>
      </c>
      <c r="I284" s="304">
        <v>42</v>
      </c>
      <c r="J284" s="306">
        <v>1</v>
      </c>
      <c r="K284" s="306">
        <v>-3</v>
      </c>
    </row>
    <row r="285" spans="1:11" ht="15.75">
      <c r="A285" s="107"/>
      <c r="B285" s="107"/>
      <c r="C285" s="107"/>
      <c r="D285" s="107"/>
      <c r="E285" s="107"/>
      <c r="F285" s="107"/>
      <c r="G285" s="107" t="s">
        <v>509</v>
      </c>
      <c r="H285" s="107">
        <v>315</v>
      </c>
      <c r="I285" s="304">
        <v>38</v>
      </c>
      <c r="J285" s="306">
        <v>2</v>
      </c>
      <c r="K285" s="306">
        <v>-3</v>
      </c>
    </row>
    <row r="286" spans="1:11" ht="15.75">
      <c r="A286" s="107"/>
      <c r="B286" s="107"/>
      <c r="C286" s="107"/>
      <c r="D286" s="107"/>
      <c r="E286" s="107"/>
      <c r="F286" s="107"/>
      <c r="G286" s="107" t="s">
        <v>510</v>
      </c>
      <c r="H286" s="107">
        <v>271</v>
      </c>
      <c r="I286" s="304">
        <v>38</v>
      </c>
      <c r="J286" s="306">
        <v>3</v>
      </c>
      <c r="K286" s="306">
        <v>-3</v>
      </c>
    </row>
    <row r="287" spans="1:11" ht="15.75">
      <c r="A287" s="107"/>
      <c r="B287" s="107"/>
      <c r="C287" s="107"/>
      <c r="D287" s="107"/>
      <c r="E287" s="107"/>
      <c r="F287" s="107"/>
      <c r="G287" s="107" t="s">
        <v>511</v>
      </c>
      <c r="H287" s="107">
        <v>285</v>
      </c>
      <c r="I287" s="304">
        <v>42</v>
      </c>
      <c r="J287" s="306">
        <v>4</v>
      </c>
      <c r="K287" s="306">
        <v>-3</v>
      </c>
    </row>
    <row r="288" spans="1:11" ht="15.75">
      <c r="A288" s="107"/>
      <c r="B288" s="107"/>
      <c r="C288" s="107"/>
      <c r="D288" s="107"/>
      <c r="E288" s="107"/>
      <c r="F288" s="107"/>
      <c r="G288" s="107" t="s">
        <v>512</v>
      </c>
      <c r="H288" s="107">
        <v>275</v>
      </c>
      <c r="I288" s="304">
        <v>38</v>
      </c>
      <c r="J288" s="306">
        <v>3</v>
      </c>
      <c r="K288" s="306">
        <v>-3</v>
      </c>
    </row>
    <row r="289" spans="1:11" ht="15.75">
      <c r="A289" s="107"/>
      <c r="B289" s="107"/>
      <c r="C289" s="107"/>
      <c r="D289" s="107"/>
      <c r="E289" s="107"/>
      <c r="F289" s="107"/>
      <c r="G289" s="107" t="s">
        <v>513</v>
      </c>
      <c r="H289" s="107">
        <v>273</v>
      </c>
      <c r="I289" s="304">
        <v>38</v>
      </c>
      <c r="J289" s="306">
        <v>3</v>
      </c>
      <c r="K289" s="306">
        <v>-3</v>
      </c>
    </row>
  </sheetData>
  <sheetProtection sheet="1" objects="1" scenarios="1"/>
  <mergeCells count="6">
    <mergeCell ref="D4:E4"/>
    <mergeCell ref="D16:H16"/>
    <mergeCell ref="B5:C5"/>
    <mergeCell ref="B6:C6"/>
    <mergeCell ref="D5:E5"/>
    <mergeCell ref="D6:E6"/>
  </mergeCells>
  <dataValidations count="2">
    <dataValidation type="list" allowBlank="1" showInputMessage="1" showErrorMessage="1" sqref="B5">
      <formula1>$A$19:$A$242</formula1>
    </dataValidation>
    <dataValidation type="list" allowBlank="1" showInputMessage="1" showErrorMessage="1" sqref="B6">
      <formula1>$G$19:$G$289</formula1>
    </dataValidation>
  </dataValidations>
  <hyperlinks>
    <hyperlink ref="D16" r:id="rId1" display="Thermochemical Radii of Complex Ions"/>
  </hyperlinks>
  <printOptions/>
  <pageMargins left="0.75" right="0.75" top="1" bottom="1" header="0.5" footer="0.5"/>
  <pageSetup fitToHeight="1" fitToWidth="1" horizontalDpi="300" verticalDpi="300" orientation="landscape" scale="96" r:id="rId5"/>
  <drawing r:id="rId4"/>
  <legacyDrawing r:id="rId3"/>
</worksheet>
</file>

<file path=xl/worksheets/sheet4.xml><?xml version="1.0" encoding="utf-8"?>
<worksheet xmlns="http://schemas.openxmlformats.org/spreadsheetml/2006/main" xmlns:r="http://schemas.openxmlformats.org/officeDocument/2006/relationships">
  <sheetPr codeName="Sheet8"/>
  <dimension ref="A1:O134"/>
  <sheetViews>
    <sheetView showGridLines="0" zoomScalePageLayoutView="0" workbookViewId="0" topLeftCell="A1">
      <selection activeCell="A1" sqref="A1"/>
    </sheetView>
  </sheetViews>
  <sheetFormatPr defaultColWidth="9.140625" defaultRowHeight="12.75"/>
  <cols>
    <col min="4" max="4" width="7.28125" style="0" customWidth="1"/>
    <col min="5" max="5" width="6.00390625" style="0" customWidth="1"/>
    <col min="6" max="6" width="16.57421875" style="0" customWidth="1"/>
    <col min="7" max="7" width="14.421875" style="0" customWidth="1"/>
    <col min="8" max="8" width="10.00390625" style="0" customWidth="1"/>
    <col min="13" max="13" width="4.421875" style="0" customWidth="1"/>
    <col min="14" max="14" width="9.28125" style="0" bestFit="1" customWidth="1"/>
    <col min="15" max="15" width="9.421875" style="0" customWidth="1"/>
    <col min="16" max="16" width="12.57421875" style="0" bestFit="1" customWidth="1"/>
    <col min="17" max="17" width="10.8515625" style="0" bestFit="1" customWidth="1"/>
    <col min="18" max="18" width="9.28125" style="0" bestFit="1" customWidth="1"/>
    <col min="19" max="19" width="7.28125" style="0" customWidth="1"/>
    <col min="20" max="20" width="8.7109375" style="0" bestFit="1" customWidth="1"/>
    <col min="21" max="21" width="11.140625" style="0" customWidth="1"/>
    <col min="22" max="22" width="7.421875" style="0" customWidth="1"/>
    <col min="23" max="23" width="8.7109375" style="0" bestFit="1" customWidth="1"/>
    <col min="24" max="24" width="6.28125" style="0" customWidth="1"/>
    <col min="25" max="25" width="8.7109375" style="0" bestFit="1" customWidth="1"/>
    <col min="26" max="26" width="11.140625" style="0" customWidth="1"/>
    <col min="27" max="27" width="7.421875" style="0" customWidth="1"/>
    <col min="28" max="28" width="7.8515625" style="0" bestFit="1" customWidth="1"/>
    <col min="29" max="29" width="8.7109375" style="0" bestFit="1" customWidth="1"/>
    <col min="30" max="30" width="7.421875" style="0" customWidth="1"/>
    <col min="31" max="31" width="7.57421875" style="0" customWidth="1"/>
    <col min="32" max="32" width="8.00390625" style="0" bestFit="1" customWidth="1"/>
    <col min="33" max="33" width="8.7109375" style="0" bestFit="1" customWidth="1"/>
    <col min="34" max="34" width="6.7109375" style="0" bestFit="1" customWidth="1"/>
    <col min="35" max="35" width="11.28125" style="0" bestFit="1" customWidth="1"/>
    <col min="36" max="36" width="7.7109375" style="0" bestFit="1" customWidth="1"/>
    <col min="37" max="37" width="4.00390625" style="0" customWidth="1"/>
    <col min="38" max="41" width="7.57421875" style="0" customWidth="1"/>
    <col min="42" max="43" width="9.28125" style="0" bestFit="1" customWidth="1"/>
  </cols>
  <sheetData>
    <row r="1" ht="12.75">
      <c r="A1" s="209" t="s">
        <v>942</v>
      </c>
    </row>
    <row r="2" ht="12.75">
      <c r="A2" s="210" t="s">
        <v>913</v>
      </c>
    </row>
    <row r="27" ht="12.75">
      <c r="C27" s="211"/>
    </row>
    <row r="31" spans="1:10" ht="20.25">
      <c r="A31" s="212" t="s">
        <v>941</v>
      </c>
      <c r="B31" s="213"/>
      <c r="C31" s="213"/>
      <c r="D31" s="213"/>
      <c r="E31" s="213"/>
      <c r="F31" s="213"/>
      <c r="G31" s="213"/>
      <c r="H31" s="213"/>
      <c r="I31" s="213"/>
      <c r="J31" s="213"/>
    </row>
    <row r="32" spans="1:10" ht="12.75" customHeight="1">
      <c r="A32" s="214"/>
      <c r="B32" s="337" t="s">
        <v>558</v>
      </c>
      <c r="C32" s="337"/>
      <c r="D32" s="337"/>
      <c r="E32" s="337"/>
      <c r="F32" s="337"/>
      <c r="G32" s="337"/>
      <c r="H32" s="337"/>
      <c r="I32" s="337"/>
      <c r="J32" s="337"/>
    </row>
    <row r="33" spans="1:10" ht="12.75">
      <c r="A33" s="214"/>
      <c r="B33" s="337"/>
      <c r="C33" s="337"/>
      <c r="D33" s="337"/>
      <c r="E33" s="337"/>
      <c r="F33" s="337"/>
      <c r="G33" s="337"/>
      <c r="H33" s="337"/>
      <c r="I33" s="337"/>
      <c r="J33" s="337"/>
    </row>
    <row r="34" spans="1:10" ht="12.75">
      <c r="A34" s="214"/>
      <c r="B34" s="337"/>
      <c r="C34" s="337"/>
      <c r="D34" s="337"/>
      <c r="E34" s="337"/>
      <c r="F34" s="337"/>
      <c r="G34" s="337"/>
      <c r="H34" s="337"/>
      <c r="I34" s="337"/>
      <c r="J34" s="337"/>
    </row>
    <row r="35" spans="1:9" ht="12.75">
      <c r="A35" s="210"/>
      <c r="B35" s="215"/>
      <c r="C35" s="215"/>
      <c r="D35" s="215"/>
      <c r="E35" s="215"/>
      <c r="F35" s="215"/>
      <c r="G35" s="215"/>
      <c r="H35" s="215"/>
      <c r="I35" s="215"/>
    </row>
    <row r="36" spans="1:9" ht="12.75">
      <c r="A36" s="210" t="s">
        <v>796</v>
      </c>
      <c r="C36" s="215"/>
      <c r="D36" s="215"/>
      <c r="E36" s="215"/>
      <c r="F36" s="215"/>
      <c r="G36" s="215"/>
      <c r="H36" s="215"/>
      <c r="I36" s="215"/>
    </row>
    <row r="37" ht="12.75">
      <c r="B37" t="s">
        <v>790</v>
      </c>
    </row>
    <row r="38" ht="12.75">
      <c r="B38" t="s">
        <v>718</v>
      </c>
    </row>
    <row r="39" spans="2:10" ht="15.75" customHeight="1">
      <c r="B39" s="338" t="s">
        <v>550</v>
      </c>
      <c r="C39" s="338"/>
      <c r="D39" s="338"/>
      <c r="E39" s="338"/>
      <c r="F39" s="338"/>
      <c r="G39" s="338"/>
      <c r="H39" s="338"/>
      <c r="I39" s="338"/>
      <c r="J39" s="338"/>
    </row>
    <row r="40" spans="2:10" ht="17.25" customHeight="1">
      <c r="B40" s="338"/>
      <c r="C40" s="338"/>
      <c r="D40" s="338"/>
      <c r="E40" s="338"/>
      <c r="F40" s="338"/>
      <c r="G40" s="338"/>
      <c r="H40" s="338"/>
      <c r="I40" s="338"/>
      <c r="J40" s="338"/>
    </row>
    <row r="41" ht="12.75" customHeight="1"/>
    <row r="42" spans="1:9" ht="12.75">
      <c r="A42" s="216" t="s">
        <v>830</v>
      </c>
      <c r="C42" s="215"/>
      <c r="D42" s="215"/>
      <c r="E42" s="215"/>
      <c r="F42" s="215"/>
      <c r="G42" s="215"/>
      <c r="H42" s="215"/>
      <c r="I42" s="215"/>
    </row>
    <row r="43" spans="1:14" ht="12.75" customHeight="1">
      <c r="A43" s="210"/>
      <c r="B43" s="342" t="s">
        <v>559</v>
      </c>
      <c r="C43" s="342"/>
      <c r="D43" s="342"/>
      <c r="E43" s="342"/>
      <c r="F43" s="342"/>
      <c r="G43" s="342"/>
      <c r="H43" s="342"/>
      <c r="I43" s="342"/>
      <c r="J43" s="342"/>
      <c r="K43" s="342"/>
      <c r="L43" s="342"/>
      <c r="M43" s="342"/>
      <c r="N43" s="342"/>
    </row>
    <row r="44" spans="1:14" ht="12.75">
      <c r="A44" s="210"/>
      <c r="B44" s="342"/>
      <c r="C44" s="342"/>
      <c r="D44" s="342"/>
      <c r="E44" s="342"/>
      <c r="F44" s="342"/>
      <c r="G44" s="342"/>
      <c r="H44" s="342"/>
      <c r="I44" s="342"/>
      <c r="J44" s="342"/>
      <c r="K44" s="342"/>
      <c r="L44" s="342"/>
      <c r="M44" s="342"/>
      <c r="N44" s="342"/>
    </row>
    <row r="45" spans="1:14" ht="12.75">
      <c r="A45" s="210"/>
      <c r="B45" s="218" t="s">
        <v>931</v>
      </c>
      <c r="C45" s="217"/>
      <c r="D45" s="217"/>
      <c r="E45" s="217"/>
      <c r="F45" s="217"/>
      <c r="G45" s="217"/>
      <c r="H45" s="217"/>
      <c r="I45" s="217"/>
      <c r="J45" s="217"/>
      <c r="K45" s="217"/>
      <c r="L45" s="217"/>
      <c r="M45" s="217"/>
      <c r="N45" s="217"/>
    </row>
    <row r="46" ht="12.75">
      <c r="B46" t="s">
        <v>930</v>
      </c>
    </row>
    <row r="47" ht="12.75">
      <c r="B47" t="s">
        <v>551</v>
      </c>
    </row>
    <row r="48" ht="12.75">
      <c r="B48" t="s">
        <v>940</v>
      </c>
    </row>
    <row r="50" ht="12.75">
      <c r="A50" s="210" t="s">
        <v>788</v>
      </c>
    </row>
    <row r="51" ht="12.75">
      <c r="B51" t="s">
        <v>874</v>
      </c>
    </row>
    <row r="52" ht="12.75">
      <c r="B52" t="s">
        <v>861</v>
      </c>
    </row>
    <row r="53" spans="2:5" ht="12.75">
      <c r="B53" s="26"/>
      <c r="C53" s="210" t="s">
        <v>862</v>
      </c>
      <c r="E53" t="s">
        <v>939</v>
      </c>
    </row>
    <row r="54" spans="3:5" ht="12.75">
      <c r="C54" s="210" t="s">
        <v>880</v>
      </c>
      <c r="E54" t="s">
        <v>864</v>
      </c>
    </row>
    <row r="55" spans="3:5" ht="12.75">
      <c r="C55" s="210" t="s">
        <v>863</v>
      </c>
      <c r="E55" t="s">
        <v>875</v>
      </c>
    </row>
    <row r="56" spans="3:5" ht="12.75">
      <c r="C56" s="210" t="s">
        <v>876</v>
      </c>
      <c r="E56" t="s">
        <v>877</v>
      </c>
    </row>
    <row r="57" spans="3:14" ht="15.75" customHeight="1">
      <c r="C57" s="210" t="s">
        <v>878</v>
      </c>
      <c r="E57" s="338" t="s">
        <v>552</v>
      </c>
      <c r="F57" s="338"/>
      <c r="G57" s="338"/>
      <c r="H57" s="338"/>
      <c r="I57" s="338"/>
      <c r="J57" s="338"/>
      <c r="K57" s="338"/>
      <c r="L57" s="338"/>
      <c r="M57" s="338"/>
      <c r="N57" s="338"/>
    </row>
    <row r="58" spans="3:14" ht="12.75">
      <c r="C58" s="210"/>
      <c r="E58" s="338"/>
      <c r="F58" s="338"/>
      <c r="G58" s="338"/>
      <c r="H58" s="338"/>
      <c r="I58" s="338"/>
      <c r="J58" s="338"/>
      <c r="K58" s="338"/>
      <c r="L58" s="338"/>
      <c r="M58" s="338"/>
      <c r="N58" s="338"/>
    </row>
    <row r="59" spans="3:5" ht="12.75">
      <c r="C59" s="210" t="s">
        <v>831</v>
      </c>
      <c r="E59" t="s">
        <v>938</v>
      </c>
    </row>
    <row r="60" ht="12.75">
      <c r="C60" s="210"/>
    </row>
    <row r="61" spans="2:5" ht="12.75">
      <c r="B61" s="210" t="s">
        <v>771</v>
      </c>
      <c r="E61" s="210"/>
    </row>
    <row r="62" ht="12.75">
      <c r="B62" t="s">
        <v>865</v>
      </c>
    </row>
    <row r="63" ht="12.75">
      <c r="B63" t="s">
        <v>860</v>
      </c>
    </row>
    <row r="64" ht="12.75">
      <c r="B64" t="s">
        <v>849</v>
      </c>
    </row>
    <row r="65" ht="12.75">
      <c r="B65" t="s">
        <v>850</v>
      </c>
    </row>
    <row r="66" ht="12.75">
      <c r="B66" t="s">
        <v>851</v>
      </c>
    </row>
    <row r="67" ht="12.75">
      <c r="B67" t="s">
        <v>852</v>
      </c>
    </row>
    <row r="68" ht="12.75">
      <c r="B68" t="s">
        <v>553</v>
      </c>
    </row>
    <row r="69" ht="12.75">
      <c r="B69" t="s">
        <v>853</v>
      </c>
    </row>
    <row r="70" ht="12.75">
      <c r="C70" t="s">
        <v>854</v>
      </c>
    </row>
    <row r="71" ht="12.75">
      <c r="B71" t="s">
        <v>855</v>
      </c>
    </row>
    <row r="72" ht="12.75">
      <c r="B72" t="s">
        <v>856</v>
      </c>
    </row>
    <row r="73" ht="14.25">
      <c r="B73" t="s">
        <v>554</v>
      </c>
    </row>
    <row r="74" ht="12.75">
      <c r="B74" t="s">
        <v>555</v>
      </c>
    </row>
    <row r="75" ht="12.75">
      <c r="B75" t="s">
        <v>935</v>
      </c>
    </row>
    <row r="77" ht="12.75">
      <c r="B77" t="s">
        <v>858</v>
      </c>
    </row>
    <row r="78" ht="12.75">
      <c r="C78" t="s">
        <v>0</v>
      </c>
    </row>
    <row r="79" ht="18">
      <c r="C79" s="219" t="s">
        <v>556</v>
      </c>
    </row>
    <row r="80" spans="3:7" ht="12.75">
      <c r="C80" t="s">
        <v>859</v>
      </c>
      <c r="F80" s="219"/>
      <c r="G80" s="220"/>
    </row>
    <row r="81" ht="12.75">
      <c r="D81" t="s">
        <v>867</v>
      </c>
    </row>
    <row r="82" ht="12.75">
      <c r="C82" t="s">
        <v>787</v>
      </c>
    </row>
    <row r="83" ht="12.75">
      <c r="C83" t="s">
        <v>868</v>
      </c>
    </row>
    <row r="85" ht="12.75">
      <c r="B85" s="210" t="s">
        <v>832</v>
      </c>
    </row>
    <row r="86" spans="2:11" ht="15.75" customHeight="1">
      <c r="B86" t="s">
        <v>557</v>
      </c>
      <c r="C86" s="339" t="s">
        <v>833</v>
      </c>
      <c r="D86" s="339"/>
      <c r="E86" s="339"/>
      <c r="F86" s="339"/>
      <c r="G86" s="339"/>
      <c r="H86" s="339"/>
      <c r="I86" s="339"/>
      <c r="J86" s="339"/>
      <c r="K86" s="339"/>
    </row>
    <row r="87" spans="3:11" ht="12.75">
      <c r="C87" s="339"/>
      <c r="D87" s="339"/>
      <c r="E87" s="339"/>
      <c r="F87" s="339"/>
      <c r="G87" s="339"/>
      <c r="H87" s="339"/>
      <c r="I87" s="339"/>
      <c r="J87" s="339"/>
      <c r="K87" s="339"/>
    </row>
    <row r="88" spans="2:3" ht="12.75">
      <c r="B88" s="48" t="s">
        <v>789</v>
      </c>
      <c r="C88" t="s">
        <v>802</v>
      </c>
    </row>
    <row r="90" ht="12.75">
      <c r="A90" s="210" t="s">
        <v>808</v>
      </c>
    </row>
    <row r="91" spans="2:11" ht="12.75" customHeight="1">
      <c r="B91" s="340" t="s">
        <v>812</v>
      </c>
      <c r="C91" s="340"/>
      <c r="D91" s="340"/>
      <c r="E91" s="340"/>
      <c r="F91" s="340"/>
      <c r="G91" s="340"/>
      <c r="H91" s="340"/>
      <c r="I91" s="340"/>
      <c r="J91" s="340"/>
      <c r="K91" s="33"/>
    </row>
    <row r="92" spans="2:10" ht="12.75">
      <c r="B92" s="340"/>
      <c r="C92" s="340"/>
      <c r="D92" s="340"/>
      <c r="E92" s="340"/>
      <c r="F92" s="340"/>
      <c r="G92" s="340"/>
      <c r="H92" s="340"/>
      <c r="I92" s="340"/>
      <c r="J92" s="340"/>
    </row>
    <row r="93" spans="2:10" ht="12.75">
      <c r="B93" s="340"/>
      <c r="C93" s="340"/>
      <c r="D93" s="340"/>
      <c r="E93" s="340"/>
      <c r="F93" s="340"/>
      <c r="G93" s="340"/>
      <c r="H93" s="340"/>
      <c r="I93" s="340"/>
      <c r="J93" s="340"/>
    </row>
    <row r="94" spans="2:10" ht="12.75">
      <c r="B94" s="340"/>
      <c r="C94" s="340"/>
      <c r="D94" s="340"/>
      <c r="E94" s="340"/>
      <c r="F94" s="340"/>
      <c r="G94" s="340"/>
      <c r="H94" s="340"/>
      <c r="I94" s="340"/>
      <c r="J94" s="340"/>
    </row>
    <row r="95" spans="2:10" ht="12.75">
      <c r="B95" s="340"/>
      <c r="C95" s="340"/>
      <c r="D95" s="340"/>
      <c r="E95" s="340"/>
      <c r="F95" s="340"/>
      <c r="G95" s="340"/>
      <c r="H95" s="340"/>
      <c r="I95" s="340"/>
      <c r="J95" s="340"/>
    </row>
    <row r="96" ht="12.75">
      <c r="B96" t="s">
        <v>809</v>
      </c>
    </row>
    <row r="97" ht="12.75">
      <c r="B97" t="s">
        <v>810</v>
      </c>
    </row>
    <row r="98" ht="12.75">
      <c r="B98" t="s">
        <v>811</v>
      </c>
    </row>
    <row r="100" spans="2:10" ht="12.75" customHeight="1">
      <c r="B100" s="340" t="s">
        <v>801</v>
      </c>
      <c r="C100" s="340"/>
      <c r="D100" s="340"/>
      <c r="E100" s="340"/>
      <c r="F100" s="340"/>
      <c r="G100" s="340"/>
      <c r="H100" s="340"/>
      <c r="I100" s="340"/>
      <c r="J100" s="340"/>
    </row>
    <row r="101" spans="2:10" ht="12.75">
      <c r="B101" s="340"/>
      <c r="C101" s="340"/>
      <c r="D101" s="340"/>
      <c r="E101" s="340"/>
      <c r="F101" s="340"/>
      <c r="G101" s="340"/>
      <c r="H101" s="340"/>
      <c r="I101" s="340"/>
      <c r="J101" s="340"/>
    </row>
    <row r="102" spans="2:10" ht="12.75">
      <c r="B102" s="340"/>
      <c r="C102" s="340"/>
      <c r="D102" s="340"/>
      <c r="E102" s="340"/>
      <c r="F102" s="340"/>
      <c r="G102" s="340"/>
      <c r="H102" s="340"/>
      <c r="I102" s="340"/>
      <c r="J102" s="340"/>
    </row>
    <row r="103" spans="2:10" ht="12.75">
      <c r="B103" s="340"/>
      <c r="C103" s="340"/>
      <c r="D103" s="340"/>
      <c r="E103" s="340"/>
      <c r="F103" s="340"/>
      <c r="G103" s="340"/>
      <c r="H103" s="340"/>
      <c r="I103" s="340"/>
      <c r="J103" s="340"/>
    </row>
    <row r="105" ht="12.75">
      <c r="A105" s="210" t="s">
        <v>834</v>
      </c>
    </row>
    <row r="106" spans="2:10" ht="12.75" customHeight="1">
      <c r="B106" s="338" t="s">
        <v>560</v>
      </c>
      <c r="C106" s="338"/>
      <c r="D106" s="338"/>
      <c r="E106" s="338"/>
      <c r="F106" s="338"/>
      <c r="G106" s="338"/>
      <c r="H106" s="338"/>
      <c r="I106" s="338"/>
      <c r="J106" s="338"/>
    </row>
    <row r="107" spans="2:10" ht="12.75">
      <c r="B107" s="338"/>
      <c r="C107" s="338"/>
      <c r="D107" s="338"/>
      <c r="E107" s="338"/>
      <c r="F107" s="338"/>
      <c r="G107" s="338"/>
      <c r="H107" s="338"/>
      <c r="I107" s="338"/>
      <c r="J107" s="338"/>
    </row>
    <row r="108" spans="2:10" ht="12.75">
      <c r="B108" s="338"/>
      <c r="C108" s="338"/>
      <c r="D108" s="338"/>
      <c r="E108" s="338"/>
      <c r="F108" s="338"/>
      <c r="G108" s="338"/>
      <c r="H108" s="338"/>
      <c r="I108" s="338"/>
      <c r="J108" s="338"/>
    </row>
    <row r="109" spans="2:10" ht="12.75">
      <c r="B109" s="338"/>
      <c r="C109" s="338"/>
      <c r="D109" s="338"/>
      <c r="E109" s="338"/>
      <c r="F109" s="338"/>
      <c r="G109" s="338"/>
      <c r="H109" s="338"/>
      <c r="I109" s="338"/>
      <c r="J109" s="338"/>
    </row>
    <row r="110" spans="2:10" ht="12.75">
      <c r="B110" s="338"/>
      <c r="C110" s="338"/>
      <c r="D110" s="338"/>
      <c r="E110" s="338"/>
      <c r="F110" s="338"/>
      <c r="G110" s="338"/>
      <c r="H110" s="338"/>
      <c r="I110" s="338"/>
      <c r="J110" s="338"/>
    </row>
    <row r="111" spans="3:11" ht="12.75">
      <c r="C111" s="37"/>
      <c r="D111" s="37"/>
      <c r="E111" s="37"/>
      <c r="F111" s="37"/>
      <c r="G111" s="37"/>
      <c r="H111" s="37"/>
      <c r="I111" s="37"/>
      <c r="J111" s="37"/>
      <c r="K111" s="37"/>
    </row>
    <row r="112" spans="3:15" ht="12.75">
      <c r="C112" s="37"/>
      <c r="E112" s="58" t="s">
        <v>816</v>
      </c>
      <c r="F112" s="221" t="s">
        <v>775</v>
      </c>
      <c r="H112" s="37"/>
      <c r="I112" s="37"/>
      <c r="J112" s="37"/>
      <c r="K112" s="37"/>
      <c r="M112" s="71"/>
      <c r="N112" s="48"/>
      <c r="O112" s="222"/>
    </row>
    <row r="113" spans="3:15" ht="12.75">
      <c r="C113" s="37"/>
      <c r="E113" s="118" t="s">
        <v>815</v>
      </c>
      <c r="F113" s="274" t="s">
        <v>776</v>
      </c>
      <c r="G113" s="8" t="s">
        <v>794</v>
      </c>
      <c r="H113" s="37"/>
      <c r="I113" s="37"/>
      <c r="J113" s="37"/>
      <c r="K113" s="37"/>
      <c r="M113" s="71"/>
      <c r="N113" s="48"/>
      <c r="O113" s="222"/>
    </row>
    <row r="114" spans="3:15" ht="12.75">
      <c r="C114" s="37"/>
      <c r="D114" s="71" t="s">
        <v>837</v>
      </c>
      <c r="E114" s="124">
        <v>1.8</v>
      </c>
      <c r="F114" s="223">
        <v>55</v>
      </c>
      <c r="G114" s="19" t="s">
        <v>773</v>
      </c>
      <c r="H114" s="37"/>
      <c r="I114" s="37"/>
      <c r="J114" s="37"/>
      <c r="K114" s="37"/>
      <c r="M114" s="71"/>
      <c r="N114" s="48"/>
      <c r="O114" s="222"/>
    </row>
    <row r="115" spans="3:15" ht="12.75">
      <c r="C115" s="37"/>
      <c r="D115" s="71" t="s">
        <v>880</v>
      </c>
      <c r="E115" s="48">
        <v>2.4</v>
      </c>
      <c r="F115" s="223">
        <v>22</v>
      </c>
      <c r="G115" s="19" t="s">
        <v>774</v>
      </c>
      <c r="H115" s="37"/>
      <c r="I115" s="37"/>
      <c r="J115" s="37"/>
      <c r="K115" s="37"/>
      <c r="M115" s="71"/>
      <c r="N115" s="48"/>
      <c r="O115" s="222"/>
    </row>
    <row r="116" spans="3:15" ht="12.75">
      <c r="C116" s="37"/>
      <c r="D116" s="71" t="s">
        <v>838</v>
      </c>
      <c r="E116" s="48">
        <v>2.6</v>
      </c>
      <c r="F116" s="223">
        <v>9</v>
      </c>
      <c r="G116" s="19" t="s">
        <v>774</v>
      </c>
      <c r="H116" s="37"/>
      <c r="I116" s="37"/>
      <c r="J116" s="37"/>
      <c r="K116" s="37"/>
      <c r="M116" s="71"/>
      <c r="N116" s="48"/>
      <c r="O116" s="222"/>
    </row>
    <row r="117" spans="3:15" ht="12.75">
      <c r="C117" s="37"/>
      <c r="D117" s="71" t="s">
        <v>836</v>
      </c>
      <c r="E117" s="48">
        <v>2.9</v>
      </c>
      <c r="F117" s="223">
        <v>-12</v>
      </c>
      <c r="G117" s="19" t="s">
        <v>795</v>
      </c>
      <c r="H117" s="37"/>
      <c r="I117" s="37"/>
      <c r="J117" s="37"/>
      <c r="K117" s="37"/>
      <c r="M117" s="71"/>
      <c r="N117" s="48"/>
      <c r="O117" s="222"/>
    </row>
    <row r="118" spans="3:15" ht="12.75">
      <c r="C118" s="37"/>
      <c r="D118" s="37"/>
      <c r="E118" s="37"/>
      <c r="F118" s="37"/>
      <c r="G118" s="37"/>
      <c r="H118" s="37"/>
      <c r="I118" s="37"/>
      <c r="J118" s="37"/>
      <c r="K118" s="37"/>
      <c r="M118" s="71"/>
      <c r="N118" s="48"/>
      <c r="O118" s="222"/>
    </row>
    <row r="119" ht="12.75">
      <c r="A119" s="210" t="s">
        <v>839</v>
      </c>
    </row>
    <row r="120" ht="12.75">
      <c r="B120" t="s">
        <v>936</v>
      </c>
    </row>
    <row r="121" spans="3:8" ht="12.75">
      <c r="C121" s="225" t="s">
        <v>881</v>
      </c>
      <c r="H121" t="s">
        <v>1</v>
      </c>
    </row>
    <row r="122" spans="3:8" ht="12.75">
      <c r="C122" s="225" t="s">
        <v>882</v>
      </c>
      <c r="H122" t="s">
        <v>883</v>
      </c>
    </row>
    <row r="123" spans="3:8" ht="12.75">
      <c r="C123" s="226" t="s">
        <v>888</v>
      </c>
      <c r="H123" t="s">
        <v>884</v>
      </c>
    </row>
    <row r="124" spans="3:8" ht="12.75">
      <c r="C124" s="341" t="s">
        <v>799</v>
      </c>
      <c r="D124" s="341"/>
      <c r="H124" t="s">
        <v>800</v>
      </c>
    </row>
    <row r="125" spans="3:8" ht="12.75">
      <c r="C125" s="226" t="s">
        <v>932</v>
      </c>
      <c r="H125" t="s">
        <v>933</v>
      </c>
    </row>
    <row r="126" ht="12.75">
      <c r="C126" s="226"/>
    </row>
    <row r="127" ht="12.75">
      <c r="B127" t="s">
        <v>890</v>
      </c>
    </row>
    <row r="128" ht="12.75">
      <c r="C128" t="s">
        <v>885</v>
      </c>
    </row>
    <row r="129" ht="12.75">
      <c r="C129" t="s">
        <v>886</v>
      </c>
    </row>
    <row r="130" ht="12.75">
      <c r="C130" t="s">
        <v>2</v>
      </c>
    </row>
    <row r="131" ht="12.75">
      <c r="C131" t="s">
        <v>887</v>
      </c>
    </row>
    <row r="132" ht="12.75">
      <c r="C132" s="225" t="s">
        <v>943</v>
      </c>
    </row>
    <row r="133" spans="3:7" ht="12.75">
      <c r="C133" t="s">
        <v>891</v>
      </c>
      <c r="E133" s="341" t="s">
        <v>798</v>
      </c>
      <c r="F133" s="341"/>
      <c r="G133" s="341"/>
    </row>
    <row r="134" spans="2:10" ht="12.75">
      <c r="B134" s="197"/>
      <c r="C134" s="197"/>
      <c r="D134" s="197"/>
      <c r="E134" s="197"/>
      <c r="F134" s="197"/>
      <c r="G134" s="197"/>
      <c r="H134" s="197"/>
      <c r="I134" s="197"/>
      <c r="J134" s="224"/>
    </row>
  </sheetData>
  <sheetProtection/>
  <mergeCells count="10">
    <mergeCell ref="B32:J34"/>
    <mergeCell ref="B39:J40"/>
    <mergeCell ref="C86:K87"/>
    <mergeCell ref="B91:J95"/>
    <mergeCell ref="E133:G133"/>
    <mergeCell ref="B106:J110"/>
    <mergeCell ref="E57:N58"/>
    <mergeCell ref="B43:N44"/>
    <mergeCell ref="B100:J103"/>
    <mergeCell ref="C124:D124"/>
  </mergeCells>
  <hyperlinks>
    <hyperlink ref="C123" r:id="rId1" display="http://www.ill.fr/dif/3D-crystals/index.html"/>
    <hyperlink ref="C122" r:id="rId2" display="Structures of Simple Inorganic Solids"/>
    <hyperlink ref="C121" r:id="rId3" display="Crystal Lattice Structures"/>
    <hyperlink ref="C132" r:id="rId4" display="cking@troy.edu"/>
    <hyperlink ref="E133" r:id="rId5" display="http://spectrum.troyst.edu/~cking/"/>
    <hyperlink ref="C125" r:id="rId6" display="American "/>
    <hyperlink ref="E133:G133" r:id="rId7" display="http://spectrum.troy.edu/~cking/"/>
    <hyperlink ref="C124:D124" r:id="rId8" display="WWW-MINCRYST"/>
  </hyperlinks>
  <printOptions/>
  <pageMargins left="0.75" right="0.75" top="1" bottom="1" header="0.5" footer="0.5"/>
  <pageSetup fitToHeight="4" horizontalDpi="300" verticalDpi="300" orientation="landscape" scale="87" r:id="rId12"/>
  <rowBreaks count="1" manualBreakCount="1">
    <brk id="69" max="13" man="1"/>
  </rowBreaks>
  <drawing r:id="rId11"/>
  <legacyDrawing r:id="rId10"/>
</worksheet>
</file>

<file path=xl/worksheets/sheet5.xml><?xml version="1.0" encoding="utf-8"?>
<worksheet xmlns="http://schemas.openxmlformats.org/spreadsheetml/2006/main" xmlns:r="http://schemas.openxmlformats.org/officeDocument/2006/relationships">
  <sheetPr codeName="Sheet2"/>
  <dimension ref="A1:AT290"/>
  <sheetViews>
    <sheetView showGridLines="0" zoomScalePageLayoutView="0" workbookViewId="0" topLeftCell="A1">
      <selection activeCell="A1" sqref="A1"/>
    </sheetView>
  </sheetViews>
  <sheetFormatPr defaultColWidth="9.140625" defaultRowHeight="12.75"/>
  <cols>
    <col min="3" max="3" width="11.421875" style="0" customWidth="1"/>
    <col min="4" max="4" width="13.140625" style="0" customWidth="1"/>
    <col min="5" max="5" width="10.7109375" style="0" customWidth="1"/>
    <col min="6" max="6" width="8.8515625" style="0" customWidth="1"/>
    <col min="7" max="7" width="9.7109375" style="0" customWidth="1"/>
    <col min="8" max="8" width="8.00390625" style="0" customWidth="1"/>
    <col min="9" max="9" width="8.140625" style="0" customWidth="1"/>
    <col min="10" max="10" width="10.00390625" style="0" customWidth="1"/>
    <col min="11" max="11" width="11.00390625" style="0" bestFit="1" customWidth="1"/>
    <col min="12" max="12" width="6.28125" style="0" bestFit="1" customWidth="1"/>
    <col min="13" max="13" width="6.140625" style="0" customWidth="1"/>
    <col min="14" max="14" width="7.57421875" style="0" bestFit="1" customWidth="1"/>
    <col min="15" max="15" width="13.7109375" style="0" bestFit="1" customWidth="1"/>
    <col min="16" max="16" width="7.57421875" style="0" bestFit="1" customWidth="1"/>
    <col min="17" max="17" width="13.7109375" style="0" bestFit="1" customWidth="1"/>
    <col min="18" max="18" width="12.00390625" style="0" bestFit="1" customWidth="1"/>
    <col min="19" max="19" width="7.7109375" style="0" bestFit="1" customWidth="1"/>
    <col min="20" max="20" width="5.140625" style="0" customWidth="1"/>
    <col min="21" max="21" width="7.00390625" style="0" bestFit="1" customWidth="1"/>
    <col min="22" max="22" width="12.00390625" style="0" bestFit="1" customWidth="1"/>
    <col min="23" max="23" width="7.7109375" style="0" bestFit="1" customWidth="1"/>
    <col min="24" max="24" width="7.28125" style="0" customWidth="1"/>
    <col min="25" max="25" width="6.7109375" style="0" bestFit="1" customWidth="1"/>
    <col min="26" max="26" width="13.7109375" style="0" bestFit="1" customWidth="1"/>
    <col min="27" max="27" width="12.00390625" style="0" bestFit="1" customWidth="1"/>
    <col min="28" max="28" width="7.7109375" style="0" bestFit="1" customWidth="1"/>
    <col min="29" max="29" width="5.140625" style="0" customWidth="1"/>
    <col min="30" max="30" width="6.7109375" style="0" bestFit="1" customWidth="1"/>
    <col min="31" max="31" width="13.7109375" style="0" bestFit="1" customWidth="1"/>
    <col min="32" max="32" width="7.7109375" style="0" bestFit="1" customWidth="1"/>
    <col min="33" max="33" width="4.421875" style="0" customWidth="1"/>
    <col min="34" max="34" width="6.7109375" style="0" bestFit="1" customWidth="1"/>
    <col min="35" max="35" width="13.7109375" style="0" bestFit="1" customWidth="1"/>
    <col min="36" max="36" width="7.7109375" style="0" bestFit="1" customWidth="1"/>
    <col min="37" max="37" width="4.7109375" style="0" customWidth="1"/>
    <col min="38" max="38" width="6.7109375" style="0" bestFit="1" customWidth="1"/>
    <col min="39" max="39" width="13.7109375" style="0" bestFit="1" customWidth="1"/>
    <col min="40" max="40" width="12.00390625" style="0" bestFit="1" customWidth="1"/>
    <col min="41" max="41" width="7.7109375" style="0" bestFit="1" customWidth="1"/>
    <col min="42" max="42" width="4.421875" style="0" customWidth="1"/>
    <col min="43" max="43" width="6.7109375" style="0" bestFit="1" customWidth="1"/>
    <col min="44" max="44" width="13.7109375" style="0" bestFit="1" customWidth="1"/>
    <col min="45" max="45" width="12.00390625" style="0" bestFit="1" customWidth="1"/>
    <col min="46" max="46" width="7.7109375" style="0" bestFit="1" customWidth="1"/>
  </cols>
  <sheetData>
    <row r="1" ht="12.75">
      <c r="A1" s="210" t="s">
        <v>914</v>
      </c>
    </row>
    <row r="2" spans="2:9" ht="12.75" customHeight="1">
      <c r="B2" s="351" t="s">
        <v>1081</v>
      </c>
      <c r="C2" s="351"/>
      <c r="D2" s="351"/>
      <c r="E2" s="351"/>
      <c r="F2" s="351"/>
      <c r="G2" s="351"/>
      <c r="H2" s="351"/>
      <c r="I2" s="351"/>
    </row>
    <row r="3" spans="2:9" ht="12.75">
      <c r="B3" s="351"/>
      <c r="C3" s="351"/>
      <c r="D3" s="351"/>
      <c r="E3" s="351"/>
      <c r="F3" s="351"/>
      <c r="G3" s="351"/>
      <c r="H3" s="351"/>
      <c r="I3" s="351"/>
    </row>
    <row r="4" spans="2:9" ht="12.75">
      <c r="B4" s="351"/>
      <c r="C4" s="351"/>
      <c r="D4" s="351"/>
      <c r="E4" s="351"/>
      <c r="F4" s="351"/>
      <c r="G4" s="351"/>
      <c r="H4" s="351"/>
      <c r="I4" s="351"/>
    </row>
    <row r="5" spans="2:9" ht="12.75">
      <c r="B5" s="351"/>
      <c r="C5" s="351"/>
      <c r="D5" s="351"/>
      <c r="E5" s="351"/>
      <c r="F5" s="351"/>
      <c r="G5" s="351"/>
      <c r="H5" s="351"/>
      <c r="I5" s="351"/>
    </row>
    <row r="6" spans="2:9" ht="12.75">
      <c r="B6" s="351"/>
      <c r="C6" s="351"/>
      <c r="D6" s="351"/>
      <c r="E6" s="351"/>
      <c r="F6" s="351"/>
      <c r="G6" s="351"/>
      <c r="H6" s="351"/>
      <c r="I6" s="351"/>
    </row>
    <row r="7" spans="2:9" ht="12.75">
      <c r="B7" s="351"/>
      <c r="C7" s="351"/>
      <c r="D7" s="351"/>
      <c r="E7" s="351"/>
      <c r="F7" s="351"/>
      <c r="G7" s="351"/>
      <c r="H7" s="351"/>
      <c r="I7" s="351"/>
    </row>
    <row r="8" spans="2:9" ht="12.75">
      <c r="B8" s="351"/>
      <c r="C8" s="351"/>
      <c r="D8" s="351"/>
      <c r="E8" s="351"/>
      <c r="F8" s="351"/>
      <c r="G8" s="351"/>
      <c r="H8" s="351"/>
      <c r="I8" s="351"/>
    </row>
    <row r="9" spans="2:9" ht="12.75">
      <c r="B9" s="351"/>
      <c r="C9" s="351"/>
      <c r="D9" s="351"/>
      <c r="E9" s="351"/>
      <c r="F9" s="351"/>
      <c r="G9" s="351"/>
      <c r="H9" s="351"/>
      <c r="I9" s="351"/>
    </row>
    <row r="10" spans="2:9" ht="12.75">
      <c r="B10" s="351"/>
      <c r="C10" s="351"/>
      <c r="D10" s="351"/>
      <c r="E10" s="351"/>
      <c r="F10" s="351"/>
      <c r="G10" s="351"/>
      <c r="H10" s="351"/>
      <c r="I10" s="351"/>
    </row>
    <row r="11" spans="2:9" ht="12.75">
      <c r="B11" s="351"/>
      <c r="C11" s="351"/>
      <c r="D11" s="351"/>
      <c r="E11" s="351"/>
      <c r="F11" s="351"/>
      <c r="G11" s="351"/>
      <c r="H11" s="351"/>
      <c r="I11" s="351"/>
    </row>
    <row r="12" spans="2:9" ht="12.75">
      <c r="B12" s="351"/>
      <c r="C12" s="351"/>
      <c r="D12" s="351"/>
      <c r="E12" s="351"/>
      <c r="F12" s="351"/>
      <c r="G12" s="351"/>
      <c r="H12" s="351"/>
      <c r="I12" s="351"/>
    </row>
    <row r="13" spans="2:9" ht="12.75">
      <c r="B13" s="224"/>
      <c r="C13" s="224"/>
      <c r="D13" s="224"/>
      <c r="E13" s="224"/>
      <c r="F13" s="224"/>
      <c r="G13" s="224"/>
      <c r="H13" s="224"/>
      <c r="I13" s="224"/>
    </row>
    <row r="14" ht="12.75">
      <c r="A14" s="210" t="s">
        <v>844</v>
      </c>
    </row>
    <row r="15" spans="2:9" ht="12.75">
      <c r="B15" s="338" t="s">
        <v>842</v>
      </c>
      <c r="C15" s="338"/>
      <c r="D15" s="338"/>
      <c r="E15" s="338"/>
      <c r="F15" s="338"/>
      <c r="G15" s="338"/>
      <c r="H15" s="338"/>
      <c r="I15" s="338"/>
    </row>
    <row r="16" spans="2:9" ht="12.75">
      <c r="B16" s="338"/>
      <c r="C16" s="338"/>
      <c r="D16" s="338"/>
      <c r="E16" s="338"/>
      <c r="F16" s="338"/>
      <c r="G16" s="338"/>
      <c r="H16" s="338"/>
      <c r="I16" s="338"/>
    </row>
    <row r="17" spans="2:9" ht="14.25">
      <c r="B17" s="37"/>
      <c r="C17" s="227" t="s">
        <v>1022</v>
      </c>
      <c r="D17" s="37"/>
      <c r="E17" s="37"/>
      <c r="F17" s="37"/>
      <c r="G17" s="37"/>
      <c r="H17" s="37"/>
      <c r="I17" s="37"/>
    </row>
    <row r="18" spans="2:9" ht="14.25">
      <c r="B18" s="37"/>
      <c r="C18" s="227" t="s">
        <v>1023</v>
      </c>
      <c r="D18" s="37"/>
      <c r="E18" s="37"/>
      <c r="F18" s="37"/>
      <c r="G18" s="37"/>
      <c r="H18" s="37"/>
      <c r="I18" s="37"/>
    </row>
    <row r="19" spans="2:9" ht="14.25">
      <c r="B19" s="37"/>
      <c r="C19" s="227" t="s">
        <v>1024</v>
      </c>
      <c r="D19" s="37"/>
      <c r="E19" s="37"/>
      <c r="F19" s="37"/>
      <c r="G19" s="37"/>
      <c r="H19" s="37"/>
      <c r="I19" s="37"/>
    </row>
    <row r="20" spans="2:9" ht="14.25">
      <c r="B20" s="37"/>
      <c r="C20" s="227" t="s">
        <v>1025</v>
      </c>
      <c r="D20" s="37"/>
      <c r="E20" s="37"/>
      <c r="F20" s="37"/>
      <c r="G20" s="37"/>
      <c r="H20" s="37"/>
      <c r="I20" s="37"/>
    </row>
    <row r="21" spans="2:9" ht="12.75">
      <c r="B21" s="36" t="s">
        <v>843</v>
      </c>
      <c r="D21" s="37"/>
      <c r="E21" s="37"/>
      <c r="F21" s="37"/>
      <c r="G21" s="37"/>
      <c r="H21" s="37"/>
      <c r="I21" s="37"/>
    </row>
    <row r="22" spans="2:9" ht="14.25">
      <c r="B22" s="36" t="s">
        <v>1026</v>
      </c>
      <c r="C22" s="37"/>
      <c r="D22" s="37"/>
      <c r="E22" s="37"/>
      <c r="F22" s="37"/>
      <c r="G22" s="37"/>
      <c r="H22" s="37"/>
      <c r="I22" s="37"/>
    </row>
    <row r="23" spans="3:8" ht="14.25">
      <c r="C23" s="6" t="s">
        <v>908</v>
      </c>
      <c r="D23" s="6" t="s">
        <v>562</v>
      </c>
      <c r="E23" s="6" t="s">
        <v>563</v>
      </c>
      <c r="F23" s="6" t="s">
        <v>909</v>
      </c>
      <c r="G23" s="6" t="s">
        <v>910</v>
      </c>
      <c r="H23" s="228" t="s">
        <v>1027</v>
      </c>
    </row>
    <row r="24" spans="3:8" ht="12.75">
      <c r="C24" s="5" t="s">
        <v>739</v>
      </c>
      <c r="D24" s="4" t="s">
        <v>636</v>
      </c>
      <c r="E24" s="4" t="s">
        <v>583</v>
      </c>
      <c r="F24" s="4">
        <v>254.1</v>
      </c>
      <c r="G24" s="4">
        <v>96</v>
      </c>
      <c r="H24" s="229">
        <f>F24-G24</f>
        <v>158.1</v>
      </c>
    </row>
    <row r="25" spans="4:8" ht="15">
      <c r="D25" s="230" t="s">
        <v>644</v>
      </c>
      <c r="E25" s="4" t="s">
        <v>583</v>
      </c>
      <c r="F25" s="4">
        <v>231.3</v>
      </c>
      <c r="G25" s="4">
        <v>60</v>
      </c>
      <c r="H25" s="229">
        <f>F25-G25</f>
        <v>171.3</v>
      </c>
    </row>
    <row r="26" spans="3:8" ht="12.75">
      <c r="C26" s="5" t="s">
        <v>739</v>
      </c>
      <c r="D26" s="4" t="s">
        <v>631</v>
      </c>
      <c r="E26" s="4" t="s">
        <v>583</v>
      </c>
      <c r="F26" s="4">
        <v>252.6</v>
      </c>
      <c r="G26" s="4">
        <v>78</v>
      </c>
      <c r="H26" s="229">
        <f>F26-G26</f>
        <v>174.6</v>
      </c>
    </row>
    <row r="27" spans="3:8" ht="12.75">
      <c r="C27" s="5" t="s">
        <v>739</v>
      </c>
      <c r="D27" s="4" t="s">
        <v>647</v>
      </c>
      <c r="E27" s="4" t="s">
        <v>583</v>
      </c>
      <c r="F27" s="4">
        <v>232.8</v>
      </c>
      <c r="G27" s="4">
        <v>60</v>
      </c>
      <c r="H27" s="229">
        <f>F27-G27</f>
        <v>172.8</v>
      </c>
    </row>
    <row r="28" spans="3:8" ht="12.75">
      <c r="C28" s="5" t="s">
        <v>738</v>
      </c>
      <c r="D28" s="4" t="s">
        <v>647</v>
      </c>
      <c r="E28" s="4" t="s">
        <v>583</v>
      </c>
      <c r="F28" s="4">
        <v>234.3</v>
      </c>
      <c r="G28" s="4">
        <v>60</v>
      </c>
      <c r="H28" s="229">
        <f>F28-G28</f>
        <v>174.3</v>
      </c>
    </row>
    <row r="29" spans="3:9" ht="15">
      <c r="C29" s="29"/>
      <c r="F29" s="4"/>
      <c r="G29" s="39" t="s">
        <v>1028</v>
      </c>
      <c r="H29" s="231">
        <f>AVERAGE(H24:H28)</f>
        <v>170.21999999999997</v>
      </c>
      <c r="I29" s="38" t="s">
        <v>951</v>
      </c>
    </row>
    <row r="30" spans="3:8" ht="15">
      <c r="C30" s="29"/>
      <c r="G30" s="5" t="s">
        <v>911</v>
      </c>
      <c r="H30" s="232">
        <f>STDEV(H24:H28)</f>
        <v>6.901956244428274</v>
      </c>
    </row>
    <row r="31" ht="14.25">
      <c r="B31" t="s">
        <v>1029</v>
      </c>
    </row>
    <row r="32" spans="3:10" ht="15.75">
      <c r="C32" s="5" t="s">
        <v>739</v>
      </c>
      <c r="D32" s="4" t="s">
        <v>642</v>
      </c>
      <c r="E32" s="4" t="s">
        <v>587</v>
      </c>
      <c r="F32" s="4">
        <v>230.5</v>
      </c>
      <c r="G32" s="4">
        <v>47</v>
      </c>
      <c r="H32" s="233">
        <f>F32-G32</f>
        <v>183.5</v>
      </c>
      <c r="I32" s="38" t="s">
        <v>1030</v>
      </c>
      <c r="J32" s="38"/>
    </row>
    <row r="33" ht="14.25">
      <c r="B33" t="s">
        <v>1031</v>
      </c>
    </row>
    <row r="34" spans="3:10" ht="15.75">
      <c r="C34" s="5" t="s">
        <v>952</v>
      </c>
      <c r="D34" s="4" t="s">
        <v>577</v>
      </c>
      <c r="E34" s="4" t="s">
        <v>578</v>
      </c>
      <c r="F34" s="4">
        <v>356</v>
      </c>
      <c r="G34" s="4">
        <v>174</v>
      </c>
      <c r="H34" s="233">
        <f>F34-G34</f>
        <v>182</v>
      </c>
      <c r="I34" s="38" t="s">
        <v>1032</v>
      </c>
      <c r="J34" s="38"/>
    </row>
    <row r="35" ht="14.25">
      <c r="B35" t="s">
        <v>1033</v>
      </c>
    </row>
    <row r="36" spans="3:10" ht="15.75">
      <c r="C36" s="5" t="s">
        <v>739</v>
      </c>
      <c r="D36" s="4" t="s">
        <v>605</v>
      </c>
      <c r="E36" s="4" t="s">
        <v>578</v>
      </c>
      <c r="F36" s="4">
        <v>237.7</v>
      </c>
      <c r="G36" s="4">
        <v>57</v>
      </c>
      <c r="H36" s="233">
        <f>F36-G36</f>
        <v>180.7</v>
      </c>
      <c r="I36" s="38" t="s">
        <v>1034</v>
      </c>
      <c r="J36" s="38"/>
    </row>
    <row r="37" ht="14.25">
      <c r="B37" t="s">
        <v>1035</v>
      </c>
    </row>
    <row r="38" spans="3:10" ht="15.75">
      <c r="C38" s="5" t="s">
        <v>739</v>
      </c>
      <c r="D38" s="4" t="s">
        <v>605</v>
      </c>
      <c r="E38" s="4" t="s">
        <v>580</v>
      </c>
      <c r="F38" s="4">
        <v>248.7</v>
      </c>
      <c r="G38" s="4">
        <v>57</v>
      </c>
      <c r="H38" s="233">
        <f>F38-G38</f>
        <v>191.7</v>
      </c>
      <c r="I38" s="38" t="s">
        <v>1036</v>
      </c>
      <c r="J38" s="38"/>
    </row>
    <row r="39" ht="14.25">
      <c r="B39" t="s">
        <v>1037</v>
      </c>
    </row>
    <row r="40" spans="3:10" ht="15.75">
      <c r="C40" s="5" t="s">
        <v>739</v>
      </c>
      <c r="D40" s="4" t="s">
        <v>632</v>
      </c>
      <c r="E40" s="4" t="s">
        <v>593</v>
      </c>
      <c r="F40" s="4">
        <v>263</v>
      </c>
      <c r="G40" s="4">
        <v>62</v>
      </c>
      <c r="H40" s="233">
        <f>F40-G40</f>
        <v>201</v>
      </c>
      <c r="I40" s="38" t="s">
        <v>1038</v>
      </c>
      <c r="J40" s="38"/>
    </row>
    <row r="41" ht="12.75">
      <c r="B41" t="s">
        <v>848</v>
      </c>
    </row>
    <row r="42" ht="12.75">
      <c r="B42" t="s">
        <v>866</v>
      </c>
    </row>
    <row r="44" ht="15.75">
      <c r="A44" s="210" t="s">
        <v>1039</v>
      </c>
    </row>
    <row r="45" spans="2:9" ht="12.75" customHeight="1">
      <c r="B45" s="352" t="s">
        <v>1082</v>
      </c>
      <c r="C45" s="352"/>
      <c r="D45" s="352"/>
      <c r="E45" s="352"/>
      <c r="F45" s="352"/>
      <c r="G45" s="352"/>
      <c r="H45" s="352"/>
      <c r="I45" s="352"/>
    </row>
    <row r="46" spans="2:9" ht="12.75">
      <c r="B46" s="352"/>
      <c r="C46" s="352"/>
      <c r="D46" s="352"/>
      <c r="E46" s="352"/>
      <c r="F46" s="352"/>
      <c r="G46" s="352"/>
      <c r="H46" s="352"/>
      <c r="I46" s="352"/>
    </row>
    <row r="47" spans="2:9" ht="12.75">
      <c r="B47" s="352"/>
      <c r="C47" s="352"/>
      <c r="D47" s="352"/>
      <c r="E47" s="352"/>
      <c r="F47" s="352"/>
      <c r="G47" s="352"/>
      <c r="H47" s="352"/>
      <c r="I47" s="352"/>
    </row>
    <row r="48" spans="1:9" ht="12.75">
      <c r="A48" s="5"/>
      <c r="B48" s="352"/>
      <c r="C48" s="352"/>
      <c r="D48" s="352"/>
      <c r="E48" s="352"/>
      <c r="F48" s="352"/>
      <c r="G48" s="352"/>
      <c r="H48" s="352"/>
      <c r="I48" s="352"/>
    </row>
    <row r="49" spans="2:9" ht="12.75">
      <c r="B49" s="352"/>
      <c r="C49" s="352"/>
      <c r="D49" s="352"/>
      <c r="E49" s="352"/>
      <c r="F49" s="352"/>
      <c r="G49" s="352"/>
      <c r="H49" s="352"/>
      <c r="I49" s="352"/>
    </row>
    <row r="50" spans="2:9" ht="12.75">
      <c r="B50" s="352"/>
      <c r="C50" s="352"/>
      <c r="D50" s="352"/>
      <c r="E50" s="352"/>
      <c r="F50" s="352"/>
      <c r="G50" s="352"/>
      <c r="H50" s="352"/>
      <c r="I50" s="352"/>
    </row>
    <row r="51" spans="2:9" ht="12.75">
      <c r="B51" s="352"/>
      <c r="C51" s="352"/>
      <c r="D51" s="352"/>
      <c r="E51" s="352"/>
      <c r="F51" s="352"/>
      <c r="G51" s="352"/>
      <c r="H51" s="352"/>
      <c r="I51" s="352"/>
    </row>
    <row r="52" spans="2:9" ht="12.75">
      <c r="B52" s="352"/>
      <c r="C52" s="352"/>
      <c r="D52" s="352"/>
      <c r="E52" s="352"/>
      <c r="F52" s="352"/>
      <c r="G52" s="352"/>
      <c r="H52" s="352"/>
      <c r="I52" s="352"/>
    </row>
    <row r="53" spans="2:9" ht="12.75">
      <c r="B53" s="352"/>
      <c r="C53" s="352"/>
      <c r="D53" s="352"/>
      <c r="E53" s="352"/>
      <c r="F53" s="352"/>
      <c r="G53" s="352"/>
      <c r="H53" s="352"/>
      <c r="I53" s="352"/>
    </row>
    <row r="54" spans="2:9" ht="12.75">
      <c r="B54" s="352"/>
      <c r="C54" s="352"/>
      <c r="D54" s="352"/>
      <c r="E54" s="352"/>
      <c r="F54" s="352"/>
      <c r="G54" s="352"/>
      <c r="H54" s="352"/>
      <c r="I54" s="352"/>
    </row>
    <row r="55" spans="2:9" ht="12.75">
      <c r="B55" s="352"/>
      <c r="C55" s="352"/>
      <c r="D55" s="352"/>
      <c r="E55" s="352"/>
      <c r="F55" s="352"/>
      <c r="G55" s="352"/>
      <c r="H55" s="352"/>
      <c r="I55" s="352"/>
    </row>
    <row r="56" spans="2:9" ht="12.75" customHeight="1">
      <c r="B56" s="352" t="s">
        <v>1083</v>
      </c>
      <c r="C56" s="352"/>
      <c r="D56" s="352"/>
      <c r="E56" s="352"/>
      <c r="F56" s="352"/>
      <c r="G56" s="352"/>
      <c r="H56" s="352"/>
      <c r="I56" s="352"/>
    </row>
    <row r="57" spans="2:9" ht="12.75">
      <c r="B57" s="352"/>
      <c r="C57" s="352"/>
      <c r="D57" s="352"/>
      <c r="E57" s="352"/>
      <c r="F57" s="352"/>
      <c r="G57" s="352"/>
      <c r="H57" s="352"/>
      <c r="I57" s="352"/>
    </row>
    <row r="58" spans="2:10" ht="12.75">
      <c r="B58" s="352"/>
      <c r="C58" s="352"/>
      <c r="D58" s="352"/>
      <c r="E58" s="352"/>
      <c r="F58" s="352"/>
      <c r="G58" s="352"/>
      <c r="H58" s="352"/>
      <c r="I58" s="352"/>
      <c r="J58" s="224"/>
    </row>
    <row r="59" spans="2:9" ht="12.75">
      <c r="B59" s="352"/>
      <c r="C59" s="352"/>
      <c r="D59" s="352"/>
      <c r="E59" s="352"/>
      <c r="F59" s="352"/>
      <c r="G59" s="352"/>
      <c r="H59" s="352"/>
      <c r="I59" s="352"/>
    </row>
    <row r="60" spans="2:9" ht="12.75">
      <c r="B60" s="352"/>
      <c r="C60" s="352"/>
      <c r="D60" s="352"/>
      <c r="E60" s="352"/>
      <c r="F60" s="352"/>
      <c r="G60" s="352"/>
      <c r="H60" s="352"/>
      <c r="I60" s="352"/>
    </row>
    <row r="61" ht="12.75">
      <c r="A61" s="234" t="s">
        <v>937</v>
      </c>
    </row>
    <row r="62" spans="2:9" ht="12.75" customHeight="1">
      <c r="B62" s="351" t="s">
        <v>1084</v>
      </c>
      <c r="C62" s="351"/>
      <c r="D62" s="351"/>
      <c r="E62" s="351"/>
      <c r="F62" s="351"/>
      <c r="G62" s="351"/>
      <c r="H62" s="351"/>
      <c r="I62" s="351"/>
    </row>
    <row r="63" spans="2:9" ht="12.75">
      <c r="B63" s="351"/>
      <c r="C63" s="351"/>
      <c r="D63" s="351"/>
      <c r="E63" s="351"/>
      <c r="F63" s="351"/>
      <c r="G63" s="351"/>
      <c r="H63" s="351"/>
      <c r="I63" s="351"/>
    </row>
    <row r="64" spans="2:9" ht="12.75">
      <c r="B64" s="351"/>
      <c r="C64" s="351"/>
      <c r="D64" s="351"/>
      <c r="E64" s="351"/>
      <c r="F64" s="351"/>
      <c r="G64" s="351"/>
      <c r="H64" s="351"/>
      <c r="I64" s="351"/>
    </row>
    <row r="65" spans="2:9" ht="12.75">
      <c r="B65" s="351"/>
      <c r="C65" s="351"/>
      <c r="D65" s="351"/>
      <c r="E65" s="351"/>
      <c r="F65" s="351"/>
      <c r="G65" s="351"/>
      <c r="H65" s="351"/>
      <c r="I65" s="351"/>
    </row>
    <row r="66" spans="2:9" ht="12.75">
      <c r="B66" s="351"/>
      <c r="C66" s="351"/>
      <c r="D66" s="351"/>
      <c r="E66" s="351"/>
      <c r="F66" s="351"/>
      <c r="G66" s="351"/>
      <c r="H66" s="351"/>
      <c r="I66" s="351"/>
    </row>
    <row r="67" spans="2:9" ht="12.75">
      <c r="B67" s="351"/>
      <c r="C67" s="351"/>
      <c r="D67" s="351"/>
      <c r="E67" s="351"/>
      <c r="F67" s="351"/>
      <c r="G67" s="351"/>
      <c r="H67" s="351"/>
      <c r="I67" s="351"/>
    </row>
    <row r="68" spans="2:9" ht="12.75" customHeight="1">
      <c r="B68" s="351" t="s">
        <v>1085</v>
      </c>
      <c r="C68" s="353"/>
      <c r="D68" s="353"/>
      <c r="E68" s="353"/>
      <c r="F68" s="353"/>
      <c r="G68" s="353"/>
      <c r="H68" s="353"/>
      <c r="I68" s="353"/>
    </row>
    <row r="69" spans="2:9" ht="12.75">
      <c r="B69" s="353"/>
      <c r="C69" s="353"/>
      <c r="D69" s="353"/>
      <c r="E69" s="353"/>
      <c r="F69" s="353"/>
      <c r="G69" s="353"/>
      <c r="H69" s="353"/>
      <c r="I69" s="353"/>
    </row>
    <row r="70" spans="2:9" ht="12.75">
      <c r="B70" s="353"/>
      <c r="C70" s="353"/>
      <c r="D70" s="353"/>
      <c r="E70" s="353"/>
      <c r="F70" s="353"/>
      <c r="G70" s="353"/>
      <c r="H70" s="353"/>
      <c r="I70" s="353"/>
    </row>
    <row r="71" spans="2:9" ht="12.75">
      <c r="B71" s="353"/>
      <c r="C71" s="353"/>
      <c r="D71" s="353"/>
      <c r="E71" s="353"/>
      <c r="F71" s="353"/>
      <c r="G71" s="353"/>
      <c r="H71" s="353"/>
      <c r="I71" s="353"/>
    </row>
    <row r="72" spans="2:9" ht="12.75">
      <c r="B72" s="353"/>
      <c r="C72" s="353"/>
      <c r="D72" s="353"/>
      <c r="E72" s="353"/>
      <c r="F72" s="353"/>
      <c r="G72" s="353"/>
      <c r="H72" s="353"/>
      <c r="I72" s="353"/>
    </row>
    <row r="73" spans="2:10" ht="12.75">
      <c r="B73" s="351" t="s">
        <v>1040</v>
      </c>
      <c r="C73" s="351"/>
      <c r="D73" s="351"/>
      <c r="E73" s="351"/>
      <c r="F73" s="351"/>
      <c r="G73" s="351"/>
      <c r="H73" s="351"/>
      <c r="I73" s="351"/>
      <c r="J73" s="235" t="s">
        <v>912</v>
      </c>
    </row>
    <row r="74" spans="2:9" ht="12.75">
      <c r="B74" s="351"/>
      <c r="C74" s="351"/>
      <c r="D74" s="351"/>
      <c r="E74" s="351"/>
      <c r="F74" s="351"/>
      <c r="G74" s="351"/>
      <c r="H74" s="351"/>
      <c r="I74" s="351"/>
    </row>
    <row r="75" spans="2:9" ht="15.75">
      <c r="B75" s="236"/>
      <c r="C75" s="236" t="s">
        <v>1041</v>
      </c>
      <c r="D75" s="236"/>
      <c r="E75" s="236"/>
      <c r="F75" s="236"/>
      <c r="G75" s="236"/>
      <c r="H75" s="236"/>
      <c r="I75" s="236"/>
    </row>
    <row r="76" spans="2:9" ht="12.75">
      <c r="B76" s="351" t="s">
        <v>1042</v>
      </c>
      <c r="C76" s="351"/>
      <c r="D76" s="351"/>
      <c r="E76" s="351"/>
      <c r="F76" s="351"/>
      <c r="G76" s="351"/>
      <c r="H76" s="351"/>
      <c r="I76" s="351"/>
    </row>
    <row r="77" spans="2:9" ht="12.75">
      <c r="B77" s="351"/>
      <c r="C77" s="351"/>
      <c r="D77" s="351"/>
      <c r="E77" s="351"/>
      <c r="F77" s="351"/>
      <c r="G77" s="351"/>
      <c r="H77" s="351"/>
      <c r="I77" s="351"/>
    </row>
    <row r="78" spans="2:9" ht="12.75">
      <c r="B78" s="236" t="s">
        <v>797</v>
      </c>
      <c r="C78" s="236" t="s">
        <v>1043</v>
      </c>
      <c r="D78" s="236"/>
      <c r="E78" s="236"/>
      <c r="F78" s="236"/>
      <c r="G78" s="236"/>
      <c r="H78" s="237" t="s">
        <v>1044</v>
      </c>
      <c r="I78" s="236"/>
    </row>
    <row r="79" spans="2:9" ht="12.75">
      <c r="B79" s="236" t="s">
        <v>807</v>
      </c>
      <c r="C79" s="236" t="s">
        <v>747</v>
      </c>
      <c r="D79" s="236"/>
      <c r="E79" s="236"/>
      <c r="F79" s="236"/>
      <c r="G79" s="236"/>
      <c r="H79" s="236"/>
      <c r="I79" s="236"/>
    </row>
    <row r="80" spans="2:9" ht="12.75">
      <c r="B80" s="236"/>
      <c r="C80" s="236"/>
      <c r="D80" s="236" t="s">
        <v>1045</v>
      </c>
      <c r="E80" s="236"/>
      <c r="F80" s="236"/>
      <c r="G80" s="236"/>
      <c r="H80" s="238" t="s">
        <v>1046</v>
      </c>
      <c r="I80" s="236"/>
    </row>
    <row r="81" spans="2:9" ht="12.75">
      <c r="B81" s="19"/>
      <c r="C81" s="19"/>
      <c r="D81" s="19"/>
      <c r="E81" s="19"/>
      <c r="F81" s="19"/>
      <c r="G81" s="19"/>
      <c r="H81" s="239" t="s">
        <v>1047</v>
      </c>
      <c r="I81" s="19"/>
    </row>
    <row r="82" spans="2:9" ht="12.75">
      <c r="B82" s="240" t="s">
        <v>1048</v>
      </c>
      <c r="C82" s="236"/>
      <c r="D82" s="236"/>
      <c r="E82" s="236"/>
      <c r="F82" s="236"/>
      <c r="G82" s="236"/>
      <c r="H82" s="236"/>
      <c r="I82" s="236"/>
    </row>
    <row r="83" spans="2:10" ht="12.75">
      <c r="B83" s="236"/>
      <c r="C83" s="236"/>
      <c r="D83" s="236"/>
      <c r="E83" s="236"/>
      <c r="F83" s="236"/>
      <c r="G83" s="236"/>
      <c r="H83" s="236"/>
      <c r="I83" s="236"/>
      <c r="J83" s="12"/>
    </row>
    <row r="84" spans="2:9" ht="12.75" customHeight="1">
      <c r="B84" s="352" t="s">
        <v>1086</v>
      </c>
      <c r="C84" s="352"/>
      <c r="D84" s="352"/>
      <c r="E84" s="352"/>
      <c r="F84" s="352"/>
      <c r="G84" s="352"/>
      <c r="H84" s="352"/>
      <c r="I84" s="352"/>
    </row>
    <row r="85" spans="2:9" ht="12.75">
      <c r="B85" s="352"/>
      <c r="C85" s="352"/>
      <c r="D85" s="352"/>
      <c r="E85" s="352"/>
      <c r="F85" s="352"/>
      <c r="G85" s="352"/>
      <c r="H85" s="352"/>
      <c r="I85" s="352"/>
    </row>
    <row r="86" spans="2:9" ht="12.75">
      <c r="B86" s="352"/>
      <c r="C86" s="352"/>
      <c r="D86" s="352"/>
      <c r="E86" s="352"/>
      <c r="F86" s="352"/>
      <c r="G86" s="352"/>
      <c r="H86" s="352"/>
      <c r="I86" s="352"/>
    </row>
    <row r="87" spans="2:9" ht="12.75">
      <c r="B87" s="352"/>
      <c r="C87" s="352"/>
      <c r="D87" s="352"/>
      <c r="E87" s="352"/>
      <c r="F87" s="352"/>
      <c r="G87" s="352"/>
      <c r="H87" s="352"/>
      <c r="I87" s="352"/>
    </row>
    <row r="88" spans="2:46" ht="15.75">
      <c r="B88" s="19"/>
      <c r="C88" s="19"/>
      <c r="D88" s="19"/>
      <c r="E88" s="19"/>
      <c r="F88" s="19"/>
      <c r="G88" s="19"/>
      <c r="H88" s="19"/>
      <c r="I88" s="19"/>
      <c r="P88" s="3"/>
      <c r="Q88" s="44" t="s">
        <v>879</v>
      </c>
      <c r="R88" s="44"/>
      <c r="S88" s="44"/>
      <c r="T88" s="44"/>
      <c r="U88" s="3"/>
      <c r="V88" s="345" t="s">
        <v>1049</v>
      </c>
      <c r="W88" s="345"/>
      <c r="X88" s="44"/>
      <c r="Y88" s="44"/>
      <c r="Z88" s="44" t="s">
        <v>880</v>
      </c>
      <c r="AA88" s="44"/>
      <c r="AB88" s="44"/>
      <c r="AC88" s="44"/>
      <c r="AD88" s="44"/>
      <c r="AE88" s="44" t="s">
        <v>742</v>
      </c>
      <c r="AF88" s="44"/>
      <c r="AG88" s="44"/>
      <c r="AH88" s="44"/>
      <c r="AI88" s="44" t="s">
        <v>743</v>
      </c>
      <c r="AJ88" s="44"/>
      <c r="AK88" s="44"/>
      <c r="AL88" s="44"/>
      <c r="AM88" s="44" t="s">
        <v>952</v>
      </c>
      <c r="AN88" s="44"/>
      <c r="AO88" s="44"/>
      <c r="AQ88" s="44"/>
      <c r="AR88" s="44" t="s">
        <v>744</v>
      </c>
      <c r="AS88" s="44"/>
      <c r="AT88" s="44"/>
    </row>
    <row r="89" spans="2:46" ht="15.75">
      <c r="B89" s="19"/>
      <c r="C89" s="19"/>
      <c r="D89" s="19"/>
      <c r="E89" s="19"/>
      <c r="F89" s="19"/>
      <c r="G89" s="19"/>
      <c r="H89" s="19"/>
      <c r="I89" s="19"/>
      <c r="P89" s="241" t="s">
        <v>892</v>
      </c>
      <c r="Q89" s="242" t="s">
        <v>1050</v>
      </c>
      <c r="R89" s="242" t="s">
        <v>1051</v>
      </c>
      <c r="S89" s="243" t="s">
        <v>1052</v>
      </c>
      <c r="T89" s="244"/>
      <c r="U89" s="241" t="s">
        <v>892</v>
      </c>
      <c r="V89" s="242" t="s">
        <v>1051</v>
      </c>
      <c r="W89" s="243" t="s">
        <v>1052</v>
      </c>
      <c r="X89" s="245"/>
      <c r="Y89" s="246" t="s">
        <v>892</v>
      </c>
      <c r="Z89" s="243" t="s">
        <v>1050</v>
      </c>
      <c r="AA89" s="243" t="s">
        <v>1051</v>
      </c>
      <c r="AB89" s="243" t="s">
        <v>1052</v>
      </c>
      <c r="AC89" s="247"/>
      <c r="AD89" s="246" t="s">
        <v>892</v>
      </c>
      <c r="AE89" s="243" t="s">
        <v>1053</v>
      </c>
      <c r="AF89" s="243" t="s">
        <v>1052</v>
      </c>
      <c r="AG89" s="245"/>
      <c r="AH89" s="246" t="s">
        <v>892</v>
      </c>
      <c r="AI89" s="243" t="s">
        <v>1053</v>
      </c>
      <c r="AJ89" s="243" t="s">
        <v>1052</v>
      </c>
      <c r="AK89" s="245"/>
      <c r="AL89" s="246" t="s">
        <v>892</v>
      </c>
      <c r="AM89" s="243" t="s">
        <v>1050</v>
      </c>
      <c r="AN89" s="243" t="s">
        <v>1051</v>
      </c>
      <c r="AO89" s="243" t="s">
        <v>1052</v>
      </c>
      <c r="AQ89" s="246" t="s">
        <v>892</v>
      </c>
      <c r="AR89" s="243" t="s">
        <v>1050</v>
      </c>
      <c r="AS89" s="243" t="s">
        <v>1051</v>
      </c>
      <c r="AT89" s="243" t="s">
        <v>1052</v>
      </c>
    </row>
    <row r="90" spans="2:46" ht="12.75">
      <c r="B90" s="19"/>
      <c r="C90" s="19"/>
      <c r="D90" s="19"/>
      <c r="E90" s="19"/>
      <c r="F90" s="19"/>
      <c r="G90" s="19"/>
      <c r="H90" s="19"/>
      <c r="I90" s="19"/>
      <c r="P90" s="248" t="s">
        <v>1010</v>
      </c>
      <c r="Q90" s="221"/>
      <c r="S90" s="3">
        <v>2</v>
      </c>
      <c r="T90" s="245"/>
      <c r="U90" s="248" t="s">
        <v>1010</v>
      </c>
      <c r="V90" s="221"/>
      <c r="W90" s="3">
        <v>5</v>
      </c>
      <c r="X90" s="245"/>
      <c r="Y90" s="249" t="s">
        <v>1010</v>
      </c>
      <c r="Z90" s="3"/>
      <c r="AA90" s="3"/>
      <c r="AB90" s="3">
        <v>2</v>
      </c>
      <c r="AC90" s="3"/>
      <c r="AD90" s="250"/>
      <c r="AE90" s="3"/>
      <c r="AF90" s="3">
        <v>2</v>
      </c>
      <c r="AG90" s="245"/>
      <c r="AH90" s="250"/>
      <c r="AI90" s="3"/>
      <c r="AJ90" s="3">
        <v>2</v>
      </c>
      <c r="AK90" s="245"/>
      <c r="AL90" s="250"/>
      <c r="AM90" s="3"/>
      <c r="AN90" s="3"/>
      <c r="AO90" s="3">
        <v>2</v>
      </c>
      <c r="AQ90" s="250"/>
      <c r="AR90" s="3"/>
      <c r="AS90" s="3"/>
      <c r="AT90" s="3">
        <v>2</v>
      </c>
    </row>
    <row r="91" spans="2:46" ht="12.75">
      <c r="B91" s="19"/>
      <c r="C91" s="19"/>
      <c r="D91" s="19"/>
      <c r="E91" s="19"/>
      <c r="F91" s="19"/>
      <c r="G91" s="19"/>
      <c r="H91" s="19"/>
      <c r="I91" s="19"/>
      <c r="O91" s="349" t="s">
        <v>1054</v>
      </c>
      <c r="P91" s="251">
        <v>0</v>
      </c>
      <c r="Q91" s="252">
        <v>0</v>
      </c>
      <c r="R91">
        <v>0</v>
      </c>
      <c r="S91" s="253">
        <v>0</v>
      </c>
      <c r="T91" s="244"/>
      <c r="U91" s="251">
        <v>0</v>
      </c>
      <c r="V91" s="252">
        <v>0</v>
      </c>
      <c r="W91" s="253">
        <f aca="true" t="shared" si="0" ref="W91:W122">V91/Rjmk/$W$90</f>
        <v>0</v>
      </c>
      <c r="X91" s="245"/>
      <c r="Y91" s="254">
        <v>0</v>
      </c>
      <c r="Z91" s="255">
        <v>0</v>
      </c>
      <c r="AA91">
        <v>0</v>
      </c>
      <c r="AB91" s="253">
        <v>0</v>
      </c>
      <c r="AC91" s="253"/>
      <c r="AD91" s="256">
        <v>0</v>
      </c>
      <c r="AE91" s="255">
        <v>0</v>
      </c>
      <c r="AF91" s="253">
        <v>0</v>
      </c>
      <c r="AG91" s="245"/>
      <c r="AH91" s="256">
        <f>AD91</f>
        <v>0</v>
      </c>
      <c r="AI91" s="255">
        <v>0</v>
      </c>
      <c r="AJ91" s="253">
        <v>0</v>
      </c>
      <c r="AK91" s="245"/>
      <c r="AL91" s="257">
        <v>0</v>
      </c>
      <c r="AM91" s="1">
        <v>0</v>
      </c>
      <c r="AN91" s="258">
        <f aca="true" t="shared" si="1" ref="AN91:AN122">AM91*4.184</f>
        <v>0</v>
      </c>
      <c r="AO91" s="244">
        <v>0</v>
      </c>
      <c r="AQ91" s="257">
        <v>0</v>
      </c>
      <c r="AR91" s="1">
        <v>0</v>
      </c>
      <c r="AS91" s="258">
        <f aca="true" t="shared" si="2" ref="AS91:AS122">AR91*4.184</f>
        <v>0</v>
      </c>
      <c r="AT91" s="244">
        <v>0</v>
      </c>
    </row>
    <row r="92" spans="2:46" ht="12.75">
      <c r="B92" s="19"/>
      <c r="C92" s="19"/>
      <c r="D92" s="19"/>
      <c r="E92" s="19"/>
      <c r="F92" s="19"/>
      <c r="G92" s="19"/>
      <c r="H92" s="19"/>
      <c r="I92" s="19"/>
      <c r="O92" s="350"/>
      <c r="P92" s="259">
        <v>2.951</v>
      </c>
      <c r="Q92" s="252">
        <v>0.00077</v>
      </c>
      <c r="R92">
        <f aca="true" t="shared" si="3" ref="R92:R123">Q92*4.184</f>
        <v>0.0032216799999999998</v>
      </c>
      <c r="S92" s="245">
        <f aca="true" t="shared" si="4" ref="S92:S123">R92/Rjmk/$S$90</f>
        <v>0.00019373841633481707</v>
      </c>
      <c r="T92" s="245"/>
      <c r="U92" s="253">
        <v>5</v>
      </c>
      <c r="V92" s="252">
        <v>0.001</v>
      </c>
      <c r="W92" s="245">
        <f t="shared" si="0"/>
        <v>2.405433392947991E-05</v>
      </c>
      <c r="X92" s="245"/>
      <c r="Y92" s="260">
        <v>13.77</v>
      </c>
      <c r="Z92" s="245">
        <v>0.03691</v>
      </c>
      <c r="AA92" s="259">
        <f aca="true" t="shared" si="5" ref="AA92:AA123">Z92*4.184</f>
        <v>0.15443144</v>
      </c>
      <c r="AB92" s="245">
        <f aca="true" t="shared" si="6" ref="AB92:AB123">AA92/Rjmk/$AB$90</f>
        <v>0.009286863567426102</v>
      </c>
      <c r="AC92" s="245"/>
      <c r="AD92" s="254">
        <v>4</v>
      </c>
      <c r="AE92" s="253">
        <v>0.2936</v>
      </c>
      <c r="AF92" s="245">
        <f aca="true" t="shared" si="7" ref="AF92:AF131">AE92/Rjmk/$AF$90/1000</f>
        <v>1.7655881104238256E-05</v>
      </c>
      <c r="AG92" s="245"/>
      <c r="AH92" s="256">
        <f>AD92</f>
        <v>4</v>
      </c>
      <c r="AI92" s="253">
        <v>1.936</v>
      </c>
      <c r="AJ92" s="245">
        <f aca="true" t="shared" si="8" ref="AJ92:AJ130">AI92/Rjmk/$AJ$90/1000</f>
        <v>0.00011642297621868275</v>
      </c>
      <c r="AK92" s="245"/>
      <c r="AL92" s="260">
        <v>7.19</v>
      </c>
      <c r="AM92" s="259">
        <v>0.104</v>
      </c>
      <c r="AN92" s="259">
        <f t="shared" si="1"/>
        <v>0.435136</v>
      </c>
      <c r="AO92" s="245">
        <f aca="true" t="shared" si="9" ref="AO92:AO123">AN92/Rjmk/$AB$90</f>
        <v>0.026167266621845424</v>
      </c>
      <c r="AQ92" s="260">
        <v>13.51</v>
      </c>
      <c r="AR92" s="259">
        <v>1.927</v>
      </c>
      <c r="AS92" s="259">
        <f t="shared" si="2"/>
        <v>8.062568</v>
      </c>
      <c r="AT92" s="245">
        <f aca="true" t="shared" si="10" ref="AT92:AT123">AS92/Rjmk/$AB$90</f>
        <v>0.48484925750284746</v>
      </c>
    </row>
    <row r="93" spans="15:46" ht="12.75">
      <c r="O93" s="350"/>
      <c r="P93" s="259">
        <v>3.405</v>
      </c>
      <c r="Q93" s="261">
        <v>0.0012</v>
      </c>
      <c r="R93">
        <f t="shared" si="3"/>
        <v>0.0050208</v>
      </c>
      <c r="S93" s="245">
        <f t="shared" si="4"/>
        <v>0.0003019299994828318</v>
      </c>
      <c r="T93" s="245"/>
      <c r="U93" s="253">
        <v>10</v>
      </c>
      <c r="V93" s="252">
        <v>0.009</v>
      </c>
      <c r="W93" s="245">
        <f t="shared" si="0"/>
        <v>0.00021648900536531919</v>
      </c>
      <c r="X93" s="245"/>
      <c r="Y93" s="260">
        <v>15.42</v>
      </c>
      <c r="Z93" s="245">
        <v>0.05554</v>
      </c>
      <c r="AA93" s="259">
        <f t="shared" si="5"/>
        <v>0.23237936</v>
      </c>
      <c r="AB93" s="245">
        <f t="shared" si="6"/>
        <v>0.013974326809397065</v>
      </c>
      <c r="AC93" s="245"/>
      <c r="AD93" s="254">
        <v>6</v>
      </c>
      <c r="AE93" s="253">
        <v>0.9953</v>
      </c>
      <c r="AF93" s="245">
        <f t="shared" si="7"/>
        <v>5.9853196400028386E-05</v>
      </c>
      <c r="AG93" s="245"/>
      <c r="AH93" s="257">
        <v>5</v>
      </c>
      <c r="AI93" s="262">
        <v>41.6</v>
      </c>
      <c r="AJ93" s="245">
        <f t="shared" si="8"/>
        <v>0.0025016507286659104</v>
      </c>
      <c r="AK93" s="245"/>
      <c r="AL93" s="260">
        <v>9.29</v>
      </c>
      <c r="AM93" s="259">
        <v>0.264</v>
      </c>
      <c r="AN93" s="259">
        <f t="shared" si="1"/>
        <v>1.104576</v>
      </c>
      <c r="AO93" s="245">
        <f t="shared" si="9"/>
        <v>0.066424599886223</v>
      </c>
      <c r="AQ93" s="260">
        <v>15.52</v>
      </c>
      <c r="AR93" s="259">
        <v>2.67</v>
      </c>
      <c r="AS93" s="259">
        <f t="shared" si="2"/>
        <v>11.17128</v>
      </c>
      <c r="AT93" s="245">
        <f t="shared" si="10"/>
        <v>0.6717942488493007</v>
      </c>
    </row>
    <row r="94" spans="15:46" ht="12.75">
      <c r="O94" s="350"/>
      <c r="P94" s="259">
        <v>3.825</v>
      </c>
      <c r="Q94" s="261">
        <v>0.0017</v>
      </c>
      <c r="R94">
        <f t="shared" si="3"/>
        <v>0.0071128</v>
      </c>
      <c r="S94" s="245">
        <f t="shared" si="4"/>
        <v>0.00042773416593401174</v>
      </c>
      <c r="T94" s="245"/>
      <c r="U94" s="253">
        <v>15</v>
      </c>
      <c r="V94" s="252">
        <v>0.03</v>
      </c>
      <c r="W94" s="245">
        <f t="shared" si="0"/>
        <v>0.0007216300178843972</v>
      </c>
      <c r="X94" s="245"/>
      <c r="Y94" s="260">
        <v>16.65</v>
      </c>
      <c r="Z94" s="245">
        <v>0.07464</v>
      </c>
      <c r="AA94" s="259">
        <f t="shared" si="5"/>
        <v>0.31229376000000003</v>
      </c>
      <c r="AB94" s="245">
        <f t="shared" si="6"/>
        <v>0.01878004596783214</v>
      </c>
      <c r="AC94" s="245"/>
      <c r="AD94" s="254">
        <v>6</v>
      </c>
      <c r="AE94" s="255">
        <v>0.9952</v>
      </c>
      <c r="AF94" s="245">
        <f t="shared" si="7"/>
        <v>5.984718281654601E-05</v>
      </c>
      <c r="AG94" s="245"/>
      <c r="AH94" s="256">
        <f aca="true" t="shared" si="11" ref="AH94:AH130">AD93</f>
        <v>6</v>
      </c>
      <c r="AI94" s="262">
        <v>70</v>
      </c>
      <c r="AJ94" s="245">
        <f t="shared" si="8"/>
        <v>0.004209508437658984</v>
      </c>
      <c r="AK94" s="245"/>
      <c r="AL94" s="260">
        <v>12.24</v>
      </c>
      <c r="AM94" s="259">
        <v>0.663</v>
      </c>
      <c r="AN94" s="259">
        <f t="shared" si="1"/>
        <v>2.7739920000000002</v>
      </c>
      <c r="AO94" s="245">
        <f t="shared" si="9"/>
        <v>0.16681632471426458</v>
      </c>
      <c r="AQ94" s="260">
        <v>17.06</v>
      </c>
      <c r="AR94" s="259">
        <v>3.227</v>
      </c>
      <c r="AS94" s="259">
        <f t="shared" si="2"/>
        <v>13.501768</v>
      </c>
      <c r="AT94" s="245">
        <f t="shared" si="10"/>
        <v>0.8119400902759152</v>
      </c>
    </row>
    <row r="95" spans="15:46" ht="12.75">
      <c r="O95" s="350"/>
      <c r="P95" s="259">
        <v>4.254</v>
      </c>
      <c r="Q95" s="261">
        <v>0.00299</v>
      </c>
      <c r="R95">
        <f t="shared" si="3"/>
        <v>0.012510160000000001</v>
      </c>
      <c r="S95" s="245">
        <f t="shared" si="4"/>
        <v>0.0007523089153780559</v>
      </c>
      <c r="T95" s="245"/>
      <c r="U95" s="253">
        <v>20</v>
      </c>
      <c r="V95" s="252">
        <v>0.076</v>
      </c>
      <c r="W95" s="245">
        <f t="shared" si="0"/>
        <v>0.001828129378640473</v>
      </c>
      <c r="X95" s="245"/>
      <c r="Y95" s="260">
        <v>17.54</v>
      </c>
      <c r="Z95" s="245">
        <v>0.08496</v>
      </c>
      <c r="AA95" s="259">
        <f t="shared" si="5"/>
        <v>0.35547264</v>
      </c>
      <c r="AB95" s="245">
        <f t="shared" si="6"/>
        <v>0.02137664396338449</v>
      </c>
      <c r="AC95" s="245"/>
      <c r="AD95" s="254">
        <v>7</v>
      </c>
      <c r="AE95" s="255">
        <v>1.592</v>
      </c>
      <c r="AF95" s="245">
        <f t="shared" si="7"/>
        <v>9.573624903933003E-05</v>
      </c>
      <c r="AG95" s="245"/>
      <c r="AH95" s="256">
        <f t="shared" si="11"/>
        <v>6</v>
      </c>
      <c r="AI95" s="262">
        <v>70</v>
      </c>
      <c r="AJ95" s="245">
        <f t="shared" si="8"/>
        <v>0.004209508437658984</v>
      </c>
      <c r="AK95" s="245"/>
      <c r="AL95" s="260">
        <v>15.24</v>
      </c>
      <c r="AM95" s="259">
        <v>1.198</v>
      </c>
      <c r="AN95" s="259">
        <f t="shared" si="1"/>
        <v>5.012432</v>
      </c>
      <c r="AO95" s="245">
        <f t="shared" si="9"/>
        <v>0.3014267828170271</v>
      </c>
      <c r="AQ95" s="260">
        <v>19.8</v>
      </c>
      <c r="AR95" s="259">
        <v>4.256</v>
      </c>
      <c r="AS95" s="259">
        <f t="shared" si="2"/>
        <v>17.807104000000002</v>
      </c>
      <c r="AT95" s="245">
        <f t="shared" si="10"/>
        <v>1.0708450648324437</v>
      </c>
    </row>
    <row r="96" spans="15:46" ht="12.75">
      <c r="O96" s="350"/>
      <c r="P96" s="259">
        <v>4.531</v>
      </c>
      <c r="Q96" s="261">
        <v>0.00284</v>
      </c>
      <c r="R96">
        <f t="shared" si="3"/>
        <v>0.01188256</v>
      </c>
      <c r="S96" s="245">
        <f t="shared" si="4"/>
        <v>0.000714567665442702</v>
      </c>
      <c r="T96" s="245"/>
      <c r="U96" s="253">
        <v>25</v>
      </c>
      <c r="V96" s="252">
        <v>0.142</v>
      </c>
      <c r="W96" s="245">
        <f t="shared" si="0"/>
        <v>0.0034157154179861467</v>
      </c>
      <c r="X96" s="245"/>
      <c r="Y96" s="260">
        <v>19.07</v>
      </c>
      <c r="Z96" s="263">
        <v>0.1159</v>
      </c>
      <c r="AA96" s="259">
        <f t="shared" si="5"/>
        <v>0.4849256</v>
      </c>
      <c r="AB96" s="245">
        <f t="shared" si="6"/>
        <v>0.029161405783383505</v>
      </c>
      <c r="AC96" s="245"/>
      <c r="AD96" s="254">
        <v>8</v>
      </c>
      <c r="AE96" s="255">
        <v>2.415</v>
      </c>
      <c r="AF96" s="245">
        <f t="shared" si="7"/>
        <v>0.00014522804109923495</v>
      </c>
      <c r="AG96" s="245"/>
      <c r="AH96" s="256">
        <f t="shared" si="11"/>
        <v>7</v>
      </c>
      <c r="AI96" s="253">
        <v>122.3</v>
      </c>
      <c r="AJ96" s="245">
        <f t="shared" si="8"/>
        <v>0.007354612598938481</v>
      </c>
      <c r="AK96" s="245"/>
      <c r="AL96" s="260">
        <v>17.31</v>
      </c>
      <c r="AM96" s="259">
        <v>1.599</v>
      </c>
      <c r="AN96" s="259">
        <f t="shared" si="1"/>
        <v>6.690216</v>
      </c>
      <c r="AO96" s="245">
        <f t="shared" si="9"/>
        <v>0.40232172431087343</v>
      </c>
      <c r="AQ96" s="260">
        <v>23.39</v>
      </c>
      <c r="AR96" s="259">
        <v>5.455</v>
      </c>
      <c r="AS96" s="259">
        <f t="shared" si="2"/>
        <v>22.82372</v>
      </c>
      <c r="AT96" s="245">
        <f t="shared" si="10"/>
        <v>1.3725234559823731</v>
      </c>
    </row>
    <row r="97" spans="15:46" ht="12.75">
      <c r="O97" s="350"/>
      <c r="P97" s="259">
        <v>4.763</v>
      </c>
      <c r="Q97" s="261">
        <v>0.00323</v>
      </c>
      <c r="R97">
        <f t="shared" si="3"/>
        <v>0.01351432</v>
      </c>
      <c r="S97" s="245">
        <f t="shared" si="4"/>
        <v>0.0008126949152746222</v>
      </c>
      <c r="T97" s="245"/>
      <c r="U97" s="253">
        <v>30</v>
      </c>
      <c r="V97" s="252">
        <v>0.263</v>
      </c>
      <c r="W97" s="245">
        <f t="shared" si="0"/>
        <v>0.006326289823453216</v>
      </c>
      <c r="X97" s="245"/>
      <c r="Y97" s="260">
        <v>20.38</v>
      </c>
      <c r="Z97" s="245">
        <v>0.1444</v>
      </c>
      <c r="AA97" s="259">
        <f t="shared" si="5"/>
        <v>0.6041696</v>
      </c>
      <c r="AB97" s="245">
        <f t="shared" si="6"/>
        <v>0.03633224327110076</v>
      </c>
      <c r="AC97" s="245"/>
      <c r="AD97" s="254">
        <v>9</v>
      </c>
      <c r="AE97" s="255">
        <v>3.421</v>
      </c>
      <c r="AF97" s="245">
        <f t="shared" si="7"/>
        <v>0.0002057246909318769</v>
      </c>
      <c r="AG97" s="245"/>
      <c r="AH97" s="256">
        <f t="shared" si="11"/>
        <v>8</v>
      </c>
      <c r="AI97" s="255">
        <v>193.4</v>
      </c>
      <c r="AJ97" s="245">
        <f t="shared" si="8"/>
        <v>0.011630270454903537</v>
      </c>
      <c r="AK97" s="245"/>
      <c r="AL97" s="260">
        <v>19.18</v>
      </c>
      <c r="AM97" s="259">
        <v>2.024</v>
      </c>
      <c r="AN97" s="259">
        <f t="shared" si="1"/>
        <v>8.468416000000001</v>
      </c>
      <c r="AO97" s="245">
        <f t="shared" si="9"/>
        <v>0.5092552657943764</v>
      </c>
      <c r="AQ97" s="260">
        <v>26.24</v>
      </c>
      <c r="AR97" s="259">
        <v>6.269</v>
      </c>
      <c r="AS97" s="259">
        <f t="shared" si="2"/>
        <v>26.229496</v>
      </c>
      <c r="AT97" s="245">
        <f t="shared" si="10"/>
        <v>1.5773326389648938</v>
      </c>
    </row>
    <row r="98" spans="15:46" ht="12.75" customHeight="1">
      <c r="O98" s="350"/>
      <c r="P98" s="259">
        <v>5.539</v>
      </c>
      <c r="Q98" s="261">
        <v>0.00515</v>
      </c>
      <c r="R98">
        <f t="shared" si="3"/>
        <v>0.0215476</v>
      </c>
      <c r="S98" s="245">
        <f t="shared" si="4"/>
        <v>0.0012957829144471533</v>
      </c>
      <c r="T98" s="245"/>
      <c r="U98" s="253">
        <v>35</v>
      </c>
      <c r="V98" s="252">
        <v>0.438</v>
      </c>
      <c r="W98" s="245">
        <f t="shared" si="0"/>
        <v>0.0105357982611122</v>
      </c>
      <c r="X98" s="245"/>
      <c r="Y98" s="260">
        <v>21.64</v>
      </c>
      <c r="Z98" s="263">
        <v>0.1799</v>
      </c>
      <c r="AA98" s="259">
        <f t="shared" si="5"/>
        <v>0.7527016000000001</v>
      </c>
      <c r="AB98" s="245">
        <f t="shared" si="6"/>
        <v>0.04526433908913454</v>
      </c>
      <c r="AC98" s="245"/>
      <c r="AD98" s="254">
        <v>10</v>
      </c>
      <c r="AE98" s="264">
        <v>4.75</v>
      </c>
      <c r="AF98" s="245">
        <f t="shared" si="7"/>
        <v>0.0002856452154125739</v>
      </c>
      <c r="AG98" s="245"/>
      <c r="AH98" s="256">
        <f t="shared" si="11"/>
        <v>9</v>
      </c>
      <c r="AI98" s="255">
        <v>287.6</v>
      </c>
      <c r="AJ98" s="245">
        <f t="shared" si="8"/>
        <v>0.017295066095296054</v>
      </c>
      <c r="AK98" s="245"/>
      <c r="AL98" s="260">
        <v>21.99</v>
      </c>
      <c r="AM98" s="259">
        <v>2.602</v>
      </c>
      <c r="AN98" s="259">
        <f t="shared" si="1"/>
        <v>10.886768</v>
      </c>
      <c r="AO98" s="245">
        <f t="shared" si="9"/>
        <v>0.6546848822119403</v>
      </c>
      <c r="AQ98" s="260">
        <v>28.92</v>
      </c>
      <c r="AR98" s="259">
        <v>6.954</v>
      </c>
      <c r="AS98" s="259">
        <f t="shared" si="2"/>
        <v>29.095536</v>
      </c>
      <c r="AT98" s="245">
        <f t="shared" si="10"/>
        <v>1.7496843470030103</v>
      </c>
    </row>
    <row r="99" spans="15:46" ht="12.75">
      <c r="O99" s="350"/>
      <c r="P99" s="259">
        <v>5.539</v>
      </c>
      <c r="Q99" s="261">
        <v>0.00509</v>
      </c>
      <c r="R99">
        <f t="shared" si="3"/>
        <v>0.02129656</v>
      </c>
      <c r="S99" s="245">
        <f t="shared" si="4"/>
        <v>0.0012806864144730115</v>
      </c>
      <c r="T99" s="245"/>
      <c r="U99" s="253">
        <v>40</v>
      </c>
      <c r="V99" s="252">
        <v>0.69</v>
      </c>
      <c r="W99" s="245">
        <f t="shared" si="0"/>
        <v>0.016597490411341134</v>
      </c>
      <c r="X99" s="245"/>
      <c r="Y99" s="260">
        <v>23.03</v>
      </c>
      <c r="Z99" s="263">
        <v>0.2247</v>
      </c>
      <c r="AA99" s="259">
        <f t="shared" si="5"/>
        <v>0.9401448000000001</v>
      </c>
      <c r="AB99" s="245">
        <f t="shared" si="6"/>
        <v>0.05653639240316026</v>
      </c>
      <c r="AC99" s="245"/>
      <c r="AD99" s="256">
        <v>15</v>
      </c>
      <c r="AE99" s="255">
        <v>15.95</v>
      </c>
      <c r="AF99" s="245">
        <f t="shared" si="7"/>
        <v>0.0009591665654380113</v>
      </c>
      <c r="AG99" s="245"/>
      <c r="AH99" s="256">
        <f t="shared" si="11"/>
        <v>10</v>
      </c>
      <c r="AI99" s="255">
        <v>417.1</v>
      </c>
      <c r="AJ99" s="245">
        <f t="shared" si="8"/>
        <v>0.025082656704965175</v>
      </c>
      <c r="AK99" s="245"/>
      <c r="AL99" s="260">
        <v>25.36</v>
      </c>
      <c r="AM99" s="259">
        <v>3.303</v>
      </c>
      <c r="AN99" s="259">
        <f t="shared" si="1"/>
        <v>13.819752000000001</v>
      </c>
      <c r="AO99" s="245">
        <f t="shared" si="9"/>
        <v>0.8310623235764947</v>
      </c>
      <c r="AQ99" s="260">
        <v>31.53</v>
      </c>
      <c r="AR99" s="259">
        <v>7.53</v>
      </c>
      <c r="AS99" s="259">
        <f t="shared" si="2"/>
        <v>31.50552</v>
      </c>
      <c r="AT99" s="245">
        <f t="shared" si="10"/>
        <v>1.8946107467547697</v>
      </c>
    </row>
    <row r="100" spans="15:46" ht="12.75">
      <c r="O100" s="350"/>
      <c r="P100" s="259">
        <v>6.511</v>
      </c>
      <c r="Q100" s="265">
        <v>0.00817</v>
      </c>
      <c r="R100">
        <f t="shared" si="3"/>
        <v>0.03418328</v>
      </c>
      <c r="S100" s="245">
        <f t="shared" si="4"/>
        <v>0.00205564007981228</v>
      </c>
      <c r="T100" s="245"/>
      <c r="U100" s="254">
        <v>45</v>
      </c>
      <c r="V100" s="266">
        <v>1.039</v>
      </c>
      <c r="W100" s="245">
        <f t="shared" si="0"/>
        <v>0.024992452952729623</v>
      </c>
      <c r="X100" s="245"/>
      <c r="Y100" s="260">
        <v>24.4</v>
      </c>
      <c r="Z100" s="263">
        <v>0.2721</v>
      </c>
      <c r="AA100" s="259">
        <f t="shared" si="5"/>
        <v>1.1384664</v>
      </c>
      <c r="AB100" s="245">
        <f t="shared" si="6"/>
        <v>0.06846262738273211</v>
      </c>
      <c r="AC100" s="245"/>
      <c r="AD100" s="256">
        <v>20</v>
      </c>
      <c r="AE100" s="255">
        <v>38.22</v>
      </c>
      <c r="AF100" s="245">
        <f t="shared" si="7"/>
        <v>0.0022983916069618054</v>
      </c>
      <c r="AG100" s="245"/>
      <c r="AH100" s="256">
        <f t="shared" si="11"/>
        <v>15</v>
      </c>
      <c r="AI100" s="255">
        <v>1904</v>
      </c>
      <c r="AJ100" s="245">
        <f t="shared" si="8"/>
        <v>0.11449862950432436</v>
      </c>
      <c r="AK100" s="245"/>
      <c r="AL100" s="260">
        <v>28.05</v>
      </c>
      <c r="AM100" s="259">
        <v>3.853</v>
      </c>
      <c r="AN100" s="259">
        <f t="shared" si="1"/>
        <v>16.120952000000003</v>
      </c>
      <c r="AO100" s="245">
        <f t="shared" si="9"/>
        <v>0.9694469066727927</v>
      </c>
      <c r="AQ100" s="260">
        <v>34.83</v>
      </c>
      <c r="AR100" s="259">
        <v>8.165</v>
      </c>
      <c r="AS100" s="259">
        <f t="shared" si="2"/>
        <v>34.16236</v>
      </c>
      <c r="AT100" s="245">
        <f t="shared" si="10"/>
        <v>2.054382038147768</v>
      </c>
    </row>
    <row r="101" spans="15:46" ht="12.75">
      <c r="O101" s="350"/>
      <c r="P101" s="259">
        <v>6.514</v>
      </c>
      <c r="Q101" s="265">
        <v>0.00826</v>
      </c>
      <c r="R101">
        <f t="shared" si="3"/>
        <v>0.03455984</v>
      </c>
      <c r="S101" s="245">
        <f t="shared" si="4"/>
        <v>0.0020782848297734922</v>
      </c>
      <c r="T101" s="245"/>
      <c r="U101" s="254">
        <v>50</v>
      </c>
      <c r="V101" s="266">
        <v>1.492</v>
      </c>
      <c r="W101" s="245">
        <f t="shared" si="0"/>
        <v>0.035889066222784025</v>
      </c>
      <c r="X101" s="245"/>
      <c r="Y101" s="260">
        <v>25.84</v>
      </c>
      <c r="Z101" s="263">
        <v>0.3351</v>
      </c>
      <c r="AA101" s="259">
        <f t="shared" si="5"/>
        <v>1.4020584</v>
      </c>
      <c r="AB101" s="245">
        <f t="shared" si="6"/>
        <v>0.08431395235558078</v>
      </c>
      <c r="AC101" s="245"/>
      <c r="AD101" s="256">
        <v>25</v>
      </c>
      <c r="AE101" s="255">
        <v>76.65</v>
      </c>
      <c r="AF101" s="245">
        <f t="shared" si="7"/>
        <v>0.0046094117392365885</v>
      </c>
      <c r="AG101" s="245"/>
      <c r="AH101" s="256">
        <f t="shared" si="11"/>
        <v>20</v>
      </c>
      <c r="AI101" s="255">
        <v>4500</v>
      </c>
      <c r="AJ101" s="245">
        <f t="shared" si="8"/>
        <v>0.270611256706649</v>
      </c>
      <c r="AK101" s="245"/>
      <c r="AL101" s="260">
        <v>30.55</v>
      </c>
      <c r="AM101" s="259">
        <v>4.342</v>
      </c>
      <c r="AN101" s="259">
        <f t="shared" si="1"/>
        <v>18.166928</v>
      </c>
      <c r="AO101" s="245">
        <f t="shared" si="9"/>
        <v>1.0924833814620463</v>
      </c>
      <c r="AQ101" s="260">
        <v>38.73</v>
      </c>
      <c r="AR101" s="259">
        <v>8.746</v>
      </c>
      <c r="AS101" s="259">
        <f t="shared" si="2"/>
        <v>36.593264000000005</v>
      </c>
      <c r="AT101" s="245">
        <f t="shared" si="10"/>
        <v>2.2005664795640394</v>
      </c>
    </row>
    <row r="102" spans="15:46" ht="12.75">
      <c r="O102" s="350"/>
      <c r="P102" s="264">
        <v>7.456</v>
      </c>
      <c r="Q102" s="265">
        <v>0.01209</v>
      </c>
      <c r="R102">
        <f t="shared" si="3"/>
        <v>0.05058456</v>
      </c>
      <c r="S102" s="245">
        <f t="shared" si="4"/>
        <v>0.0030419447447895304</v>
      </c>
      <c r="T102" s="245"/>
      <c r="U102" s="254">
        <v>55</v>
      </c>
      <c r="V102" s="266">
        <v>2.07</v>
      </c>
      <c r="W102" s="245">
        <f t="shared" si="0"/>
        <v>0.0497924712340234</v>
      </c>
      <c r="X102" s="245"/>
      <c r="Y102" s="260">
        <v>27.49</v>
      </c>
      <c r="Z102" s="263">
        <v>0.4145</v>
      </c>
      <c r="AA102" s="259">
        <f t="shared" si="5"/>
        <v>1.734268</v>
      </c>
      <c r="AB102" s="245">
        <f t="shared" si="6"/>
        <v>0.10429165398802814</v>
      </c>
      <c r="AC102" s="245"/>
      <c r="AD102" s="256">
        <v>30</v>
      </c>
      <c r="AE102" s="255">
        <v>137.2</v>
      </c>
      <c r="AF102" s="245">
        <f t="shared" si="7"/>
        <v>0.008250636537811608</v>
      </c>
      <c r="AG102" s="245"/>
      <c r="AH102" s="256">
        <f t="shared" si="11"/>
        <v>25</v>
      </c>
      <c r="AI102" s="255">
        <v>6890</v>
      </c>
      <c r="AJ102" s="245">
        <f t="shared" si="8"/>
        <v>0.4143359019352914</v>
      </c>
      <c r="AK102" s="245"/>
      <c r="AL102" s="260">
        <v>32.96</v>
      </c>
      <c r="AM102" s="259">
        <v>4.832</v>
      </c>
      <c r="AN102" s="259">
        <f t="shared" si="1"/>
        <v>20.217088</v>
      </c>
      <c r="AO102" s="245">
        <f t="shared" si="9"/>
        <v>1.2157714645842028</v>
      </c>
      <c r="AQ102" s="260">
        <v>42.27</v>
      </c>
      <c r="AR102" s="259">
        <v>9.166</v>
      </c>
      <c r="AS102" s="259">
        <f t="shared" si="2"/>
        <v>38.350544000000006</v>
      </c>
      <c r="AT102" s="245">
        <f t="shared" si="10"/>
        <v>2.3062419793830307</v>
      </c>
    </row>
    <row r="103" spans="15:46" ht="12.75">
      <c r="O103" s="350"/>
      <c r="P103" s="264">
        <v>7.457</v>
      </c>
      <c r="Q103" s="265">
        <v>0.01228</v>
      </c>
      <c r="R103">
        <f t="shared" si="3"/>
        <v>0.05137952</v>
      </c>
      <c r="S103" s="245">
        <f t="shared" si="4"/>
        <v>0.0030897503280409785</v>
      </c>
      <c r="T103" s="245"/>
      <c r="U103" s="254">
        <v>60</v>
      </c>
      <c r="V103" s="266">
        <v>2.781</v>
      </c>
      <c r="W103" s="245">
        <f t="shared" si="0"/>
        <v>0.06689510265788363</v>
      </c>
      <c r="X103" s="245"/>
      <c r="Y103" s="260">
        <v>29.27</v>
      </c>
      <c r="Z103" s="263">
        <v>0.506</v>
      </c>
      <c r="AA103" s="259">
        <f t="shared" si="5"/>
        <v>2.1171040000000003</v>
      </c>
      <c r="AB103" s="245">
        <f t="shared" si="6"/>
        <v>0.1273138164485941</v>
      </c>
      <c r="AC103" s="245"/>
      <c r="AD103" s="256">
        <v>40</v>
      </c>
      <c r="AE103" s="255">
        <v>368.4</v>
      </c>
      <c r="AF103" s="245">
        <f t="shared" si="7"/>
        <v>0.022154041549050995</v>
      </c>
      <c r="AG103" s="245"/>
      <c r="AH103" s="256">
        <f t="shared" si="11"/>
        <v>30</v>
      </c>
      <c r="AI103" s="253">
        <v>9098</v>
      </c>
      <c r="AJ103" s="245">
        <f t="shared" si="8"/>
        <v>0.5471158252260205</v>
      </c>
      <c r="AK103" s="245"/>
      <c r="AL103" s="260">
        <v>35.28</v>
      </c>
      <c r="AM103" s="259">
        <v>5.24</v>
      </c>
      <c r="AN103" s="259">
        <f t="shared" si="1"/>
        <v>21.92416</v>
      </c>
      <c r="AO103" s="245">
        <f t="shared" si="9"/>
        <v>1.3184276644083657</v>
      </c>
      <c r="AQ103" s="260">
        <v>45.53</v>
      </c>
      <c r="AR103" s="259">
        <v>9.493</v>
      </c>
      <c r="AS103" s="259">
        <f t="shared" si="2"/>
        <v>39.718712000000004</v>
      </c>
      <c r="AT103" s="245">
        <f t="shared" si="10"/>
        <v>2.3885179042421023</v>
      </c>
    </row>
    <row r="104" spans="2:46" ht="12.75" customHeight="1">
      <c r="B104" s="351" t="s">
        <v>1087</v>
      </c>
      <c r="C104" s="351"/>
      <c r="D104" s="351"/>
      <c r="E104" s="351"/>
      <c r="F104" s="351"/>
      <c r="G104" s="351"/>
      <c r="H104" s="351"/>
      <c r="I104" s="351"/>
      <c r="O104" s="350"/>
      <c r="P104" s="264">
        <v>8.394</v>
      </c>
      <c r="Q104" s="265">
        <v>0.0174</v>
      </c>
      <c r="R104">
        <f t="shared" si="3"/>
        <v>0.0728016</v>
      </c>
      <c r="S104" s="245">
        <f t="shared" si="4"/>
        <v>0.004377984992501061</v>
      </c>
      <c r="T104" s="245"/>
      <c r="U104" s="254">
        <v>65</v>
      </c>
      <c r="V104" s="266">
        <v>3.621</v>
      </c>
      <c r="W104" s="245">
        <f t="shared" si="0"/>
        <v>0.08710074315864674</v>
      </c>
      <c r="X104" s="245"/>
      <c r="Y104" s="260">
        <v>30.59</v>
      </c>
      <c r="Z104" s="263">
        <v>0.5921</v>
      </c>
      <c r="AA104" s="259">
        <f t="shared" si="5"/>
        <v>2.4773464</v>
      </c>
      <c r="AB104" s="245">
        <f t="shared" si="6"/>
        <v>0.14897729391148726</v>
      </c>
      <c r="AC104" s="245"/>
      <c r="AD104" s="256">
        <v>50</v>
      </c>
      <c r="AE104" s="255">
        <v>829.2</v>
      </c>
      <c r="AF104" s="245">
        <f t="shared" si="7"/>
        <v>0.049864634235811854</v>
      </c>
      <c r="AG104" s="245"/>
      <c r="AH104" s="256">
        <f t="shared" si="11"/>
        <v>40</v>
      </c>
      <c r="AI104" s="255">
        <v>12830</v>
      </c>
      <c r="AJ104" s="245">
        <f t="shared" si="8"/>
        <v>0.7715427607880682</v>
      </c>
      <c r="AK104" s="245"/>
      <c r="AL104" s="260">
        <v>38.18</v>
      </c>
      <c r="AM104" s="259">
        <v>5.733</v>
      </c>
      <c r="AN104" s="259">
        <f t="shared" si="1"/>
        <v>23.986871999999998</v>
      </c>
      <c r="AO104" s="245">
        <f t="shared" si="9"/>
        <v>1.4424705725292288</v>
      </c>
      <c r="AQ104" s="260">
        <v>47.45</v>
      </c>
      <c r="AR104" s="259">
        <v>9.669</v>
      </c>
      <c r="AS104" s="259">
        <f t="shared" si="2"/>
        <v>40.455096000000005</v>
      </c>
      <c r="AT104" s="245">
        <f t="shared" si="10"/>
        <v>2.4328009708329175</v>
      </c>
    </row>
    <row r="105" spans="2:46" ht="12.75">
      <c r="B105" s="351"/>
      <c r="C105" s="351"/>
      <c r="D105" s="351"/>
      <c r="E105" s="351"/>
      <c r="F105" s="351"/>
      <c r="G105" s="351"/>
      <c r="H105" s="351"/>
      <c r="I105" s="351"/>
      <c r="O105" s="350"/>
      <c r="P105" s="264">
        <v>8.395</v>
      </c>
      <c r="Q105" s="266">
        <v>0.01741</v>
      </c>
      <c r="R105">
        <f t="shared" si="3"/>
        <v>0.07284344</v>
      </c>
      <c r="S105" s="245">
        <f t="shared" si="4"/>
        <v>0.004380501075830085</v>
      </c>
      <c r="T105" s="245"/>
      <c r="U105" s="254">
        <v>70</v>
      </c>
      <c r="V105" s="266">
        <v>4.584</v>
      </c>
      <c r="W105" s="245">
        <f t="shared" si="0"/>
        <v>0.11026506673273588</v>
      </c>
      <c r="X105" s="245"/>
      <c r="Y105" s="260">
        <v>32.67</v>
      </c>
      <c r="Z105" s="263">
        <v>0.7173</v>
      </c>
      <c r="AA105" s="259">
        <f t="shared" si="5"/>
        <v>3.0011832000000003</v>
      </c>
      <c r="AB105" s="245">
        <f t="shared" si="6"/>
        <v>0.18047865719086273</v>
      </c>
      <c r="AC105" s="245"/>
      <c r="AD105" s="256">
        <v>60</v>
      </c>
      <c r="AE105" s="255">
        <v>1612</v>
      </c>
      <c r="AF105" s="245">
        <f t="shared" si="7"/>
        <v>0.09693896573580403</v>
      </c>
      <c r="AG105" s="245"/>
      <c r="AH105" s="256">
        <f t="shared" si="11"/>
        <v>50</v>
      </c>
      <c r="AI105" s="255">
        <v>16690</v>
      </c>
      <c r="AJ105" s="245">
        <f t="shared" si="8"/>
        <v>1.0036670832075492</v>
      </c>
      <c r="AK105" s="245"/>
      <c r="AL105" s="260">
        <v>41.43</v>
      </c>
      <c r="AM105" s="259">
        <v>6.238</v>
      </c>
      <c r="AN105" s="259">
        <f t="shared" si="1"/>
        <v>26.099792000000004</v>
      </c>
      <c r="AO105" s="245">
        <f t="shared" si="9"/>
        <v>1.5695327806449209</v>
      </c>
      <c r="AQ105" s="260">
        <v>48.59</v>
      </c>
      <c r="AR105" s="259">
        <v>9.745</v>
      </c>
      <c r="AS105" s="259">
        <f t="shared" si="2"/>
        <v>40.77308</v>
      </c>
      <c r="AT105" s="245">
        <f t="shared" si="10"/>
        <v>2.4519232041334966</v>
      </c>
    </row>
    <row r="106" spans="2:46" ht="12.75">
      <c r="B106" s="351"/>
      <c r="C106" s="351"/>
      <c r="D106" s="351"/>
      <c r="E106" s="351"/>
      <c r="F106" s="351"/>
      <c r="G106" s="351"/>
      <c r="H106" s="351"/>
      <c r="I106" s="351"/>
      <c r="J106" s="224"/>
      <c r="P106" s="264">
        <v>9.327</v>
      </c>
      <c r="Q106" s="265">
        <v>0.02433</v>
      </c>
      <c r="R106">
        <f t="shared" si="3"/>
        <v>0.10179672000000001</v>
      </c>
      <c r="S106" s="245">
        <f t="shared" si="4"/>
        <v>0.006121630739514415</v>
      </c>
      <c r="T106" s="245"/>
      <c r="U106" s="254">
        <v>75</v>
      </c>
      <c r="V106" s="266">
        <v>5.671</v>
      </c>
      <c r="W106" s="245">
        <f t="shared" si="0"/>
        <v>0.13641212771408057</v>
      </c>
      <c r="X106" s="245"/>
      <c r="Y106" s="260">
        <v>33.81</v>
      </c>
      <c r="Z106" s="263">
        <v>0.8012</v>
      </c>
      <c r="AA106" s="259">
        <f t="shared" si="5"/>
        <v>3.3522208000000004</v>
      </c>
      <c r="AB106" s="245">
        <f t="shared" si="6"/>
        <v>0.20158859632137074</v>
      </c>
      <c r="AC106" s="245"/>
      <c r="AD106" s="256">
        <v>70</v>
      </c>
      <c r="AE106" s="255">
        <v>2809</v>
      </c>
      <c r="AF106" s="245">
        <f t="shared" si="7"/>
        <v>0.16892156001977268</v>
      </c>
      <c r="AG106" s="245"/>
      <c r="AH106" s="256">
        <f t="shared" si="11"/>
        <v>60</v>
      </c>
      <c r="AI106" s="255">
        <v>20310</v>
      </c>
      <c r="AJ106" s="245">
        <f t="shared" si="8"/>
        <v>1.2213588052693425</v>
      </c>
      <c r="AK106" s="245"/>
      <c r="AL106" s="260">
        <v>44.64</v>
      </c>
      <c r="AM106" s="259">
        <v>6.682</v>
      </c>
      <c r="AN106" s="259">
        <f t="shared" si="1"/>
        <v>27.957488</v>
      </c>
      <c r="AO106" s="245">
        <f t="shared" si="9"/>
        <v>1.6812468804535685</v>
      </c>
      <c r="AQ106" s="260">
        <v>49.12</v>
      </c>
      <c r="AR106" s="259">
        <v>9.798</v>
      </c>
      <c r="AS106" s="259">
        <f t="shared" si="2"/>
        <v>40.994832</v>
      </c>
      <c r="AT106" s="245">
        <f t="shared" si="10"/>
        <v>2.4652584457773217</v>
      </c>
    </row>
    <row r="107" spans="2:46" ht="12.75">
      <c r="B107" s="351"/>
      <c r="C107" s="351"/>
      <c r="D107" s="351"/>
      <c r="E107" s="351"/>
      <c r="F107" s="351"/>
      <c r="G107" s="351"/>
      <c r="H107" s="351"/>
      <c r="I107" s="351"/>
      <c r="J107" s="224"/>
      <c r="P107" s="264">
        <v>9.33</v>
      </c>
      <c r="Q107" s="265">
        <v>0.02416</v>
      </c>
      <c r="R107">
        <f t="shared" si="3"/>
        <v>0.10108544000000001</v>
      </c>
      <c r="S107" s="245">
        <f t="shared" si="4"/>
        <v>0.006078857322921015</v>
      </c>
      <c r="T107" s="245"/>
      <c r="U107" s="254">
        <v>80</v>
      </c>
      <c r="V107" s="266">
        <v>6.899</v>
      </c>
      <c r="W107" s="245">
        <f t="shared" si="0"/>
        <v>0.16595084977948188</v>
      </c>
      <c r="X107" s="245"/>
      <c r="Y107" s="260">
        <v>36.36</v>
      </c>
      <c r="Z107" s="263">
        <v>0.9856</v>
      </c>
      <c r="AA107" s="259">
        <f t="shared" si="5"/>
        <v>4.1237504000000005</v>
      </c>
      <c r="AB107" s="245">
        <f t="shared" si="6"/>
        <v>0.2479851729085659</v>
      </c>
      <c r="AC107" s="245"/>
      <c r="AD107" s="256">
        <v>80</v>
      </c>
      <c r="AE107" s="255">
        <v>4398</v>
      </c>
      <c r="AF107" s="245">
        <f t="shared" si="7"/>
        <v>0.26447740155463156</v>
      </c>
      <c r="AG107" s="245"/>
      <c r="AH107" s="256">
        <f t="shared" si="11"/>
        <v>70</v>
      </c>
      <c r="AI107" s="255">
        <v>23850</v>
      </c>
      <c r="AJ107" s="245">
        <f t="shared" si="8"/>
        <v>1.4342396605452394</v>
      </c>
      <c r="AK107" s="245"/>
      <c r="AL107" s="260">
        <v>48.1</v>
      </c>
      <c r="AM107" s="259">
        <v>7.137</v>
      </c>
      <c r="AN107" s="259">
        <f t="shared" si="1"/>
        <v>29.861207999999998</v>
      </c>
      <c r="AO107" s="245">
        <f t="shared" si="9"/>
        <v>1.795728671924142</v>
      </c>
      <c r="AQ107" s="260">
        <v>51.48</v>
      </c>
      <c r="AR107" s="259">
        <v>9.999</v>
      </c>
      <c r="AS107" s="259">
        <f t="shared" si="2"/>
        <v>41.835816</v>
      </c>
      <c r="AT107" s="245">
        <f t="shared" si="10"/>
        <v>2.515831720690696</v>
      </c>
    </row>
    <row r="108" spans="2:46" ht="12.75">
      <c r="B108" s="351"/>
      <c r="C108" s="351"/>
      <c r="D108" s="351"/>
      <c r="E108" s="351"/>
      <c r="F108" s="351"/>
      <c r="G108" s="351"/>
      <c r="H108" s="351"/>
      <c r="I108" s="351"/>
      <c r="J108" s="224"/>
      <c r="P108" s="264">
        <v>10.291</v>
      </c>
      <c r="Q108" s="265">
        <v>0.0332</v>
      </c>
      <c r="R108">
        <f t="shared" si="3"/>
        <v>0.1389088</v>
      </c>
      <c r="S108" s="245">
        <f t="shared" si="4"/>
        <v>0.008353396652358347</v>
      </c>
      <c r="T108" s="245"/>
      <c r="U108" s="254">
        <v>85</v>
      </c>
      <c r="V108" s="266">
        <v>8.25</v>
      </c>
      <c r="W108" s="245">
        <f t="shared" si="0"/>
        <v>0.19844825491820925</v>
      </c>
      <c r="X108" s="245"/>
      <c r="Y108" s="260">
        <v>37.37</v>
      </c>
      <c r="Z108" s="263">
        <v>1.0672</v>
      </c>
      <c r="AA108" s="259">
        <f t="shared" si="5"/>
        <v>4.4651648</v>
      </c>
      <c r="AB108" s="245">
        <f t="shared" si="6"/>
        <v>0.26851641287339845</v>
      </c>
      <c r="AC108" s="245"/>
      <c r="AD108" s="256">
        <v>90</v>
      </c>
      <c r="AE108" s="255">
        <v>6327</v>
      </c>
      <c r="AF108" s="245">
        <f t="shared" si="7"/>
        <v>0.38047942692954845</v>
      </c>
      <c r="AG108" s="245"/>
      <c r="AH108" s="256">
        <f t="shared" si="11"/>
        <v>80</v>
      </c>
      <c r="AI108" s="255">
        <v>27030</v>
      </c>
      <c r="AJ108" s="245">
        <f t="shared" si="8"/>
        <v>1.625471615284605</v>
      </c>
      <c r="AK108" s="245"/>
      <c r="AL108" s="260">
        <v>51.96</v>
      </c>
      <c r="AM108" s="259">
        <v>7.6</v>
      </c>
      <c r="AN108" s="259">
        <f t="shared" si="1"/>
        <v>31.7984</v>
      </c>
      <c r="AO108" s="245">
        <f t="shared" si="9"/>
        <v>1.9122233300579348</v>
      </c>
      <c r="AQ108" s="260">
        <v>52</v>
      </c>
      <c r="AR108" s="259">
        <v>10.027</v>
      </c>
      <c r="AS108" s="259">
        <f t="shared" si="2"/>
        <v>41.952968</v>
      </c>
      <c r="AT108" s="245">
        <f t="shared" si="10"/>
        <v>2.522876754011962</v>
      </c>
    </row>
    <row r="109" spans="16:46" ht="12.75">
      <c r="P109" s="264">
        <v>10.297</v>
      </c>
      <c r="Q109" s="265">
        <v>0.03305</v>
      </c>
      <c r="R109">
        <f t="shared" si="3"/>
        <v>0.13828120000000002</v>
      </c>
      <c r="S109" s="245">
        <f t="shared" si="4"/>
        <v>0.008315655402422994</v>
      </c>
      <c r="T109" s="245"/>
      <c r="U109" s="254">
        <v>90</v>
      </c>
      <c r="V109" s="266">
        <v>9.692</v>
      </c>
      <c r="W109" s="245">
        <f t="shared" si="0"/>
        <v>0.23313460444451928</v>
      </c>
      <c r="X109" s="245"/>
      <c r="Y109" s="260">
        <v>40.83</v>
      </c>
      <c r="Z109" s="263">
        <v>1.4541</v>
      </c>
      <c r="AA109" s="259">
        <f t="shared" si="5"/>
        <v>6.0839544</v>
      </c>
      <c r="AB109" s="245">
        <f t="shared" si="6"/>
        <v>0.36586367687332144</v>
      </c>
      <c r="AC109" s="245"/>
      <c r="AD109" s="256">
        <v>100</v>
      </c>
      <c r="AE109" s="255">
        <v>8281</v>
      </c>
      <c r="AF109" s="245">
        <f t="shared" si="7"/>
        <v>0.4979848481750578</v>
      </c>
      <c r="AG109" s="245"/>
      <c r="AH109" s="256">
        <f t="shared" si="11"/>
        <v>90</v>
      </c>
      <c r="AI109" s="255">
        <v>29650</v>
      </c>
      <c r="AJ109" s="245">
        <f t="shared" si="8"/>
        <v>1.783027502522698</v>
      </c>
      <c r="AK109" s="245"/>
      <c r="AL109" s="260">
        <v>55.95</v>
      </c>
      <c r="AM109" s="259">
        <v>8.011</v>
      </c>
      <c r="AN109" s="259">
        <f t="shared" si="1"/>
        <v>33.518024</v>
      </c>
      <c r="AO109" s="245">
        <f t="shared" si="9"/>
        <v>2.0156343548808047</v>
      </c>
      <c r="AQ109" s="260">
        <v>54.74</v>
      </c>
      <c r="AR109" s="259">
        <v>10.214</v>
      </c>
      <c r="AS109" s="259">
        <f t="shared" si="2"/>
        <v>42.735376</v>
      </c>
      <c r="AT109" s="245">
        <f t="shared" si="10"/>
        <v>2.5699275122647034</v>
      </c>
    </row>
    <row r="110" spans="1:46" ht="12.75">
      <c r="A110" s="210" t="s">
        <v>785</v>
      </c>
      <c r="C110" s="1"/>
      <c r="I110" s="37"/>
      <c r="J110" s="37"/>
      <c r="P110" s="264">
        <v>11.287</v>
      </c>
      <c r="Q110" s="265">
        <v>0.04473</v>
      </c>
      <c r="R110">
        <f t="shared" si="3"/>
        <v>0.18715032</v>
      </c>
      <c r="S110" s="245">
        <f t="shared" si="4"/>
        <v>0.011254440730722556</v>
      </c>
      <c r="T110" s="245"/>
      <c r="U110" s="254">
        <v>95</v>
      </c>
      <c r="V110" s="266">
        <v>11.22</v>
      </c>
      <c r="W110" s="245">
        <f t="shared" si="0"/>
        <v>0.2698896266887646</v>
      </c>
      <c r="X110" s="245"/>
      <c r="Y110" s="260">
        <v>41.7</v>
      </c>
      <c r="Z110" s="263">
        <v>1.4341</v>
      </c>
      <c r="AA110" s="259">
        <f t="shared" si="5"/>
        <v>6.0002744</v>
      </c>
      <c r="AB110" s="245">
        <f t="shared" si="6"/>
        <v>0.36083151021527426</v>
      </c>
      <c r="AC110" s="245"/>
      <c r="AD110" s="256">
        <v>110</v>
      </c>
      <c r="AE110" s="255">
        <v>10200</v>
      </c>
      <c r="AF110" s="245">
        <f t="shared" si="7"/>
        <v>0.6133855152017377</v>
      </c>
      <c r="AG110" s="245"/>
      <c r="AH110" s="256">
        <f t="shared" si="11"/>
        <v>100</v>
      </c>
      <c r="AI110" s="255">
        <v>31880</v>
      </c>
      <c r="AJ110" s="245">
        <f t="shared" si="8"/>
        <v>1.9171304141795489</v>
      </c>
      <c r="AK110" s="245"/>
      <c r="AL110" s="260">
        <v>58.47</v>
      </c>
      <c r="AM110" s="259">
        <v>8.256</v>
      </c>
      <c r="AN110" s="259">
        <f t="shared" si="1"/>
        <v>34.543104</v>
      </c>
      <c r="AO110" s="245">
        <f t="shared" si="9"/>
        <v>2.0772783964418826</v>
      </c>
      <c r="AQ110" s="260">
        <v>57.62</v>
      </c>
      <c r="AR110" s="259">
        <v>10.371</v>
      </c>
      <c r="AS110" s="259">
        <f t="shared" si="2"/>
        <v>43.392264000000004</v>
      </c>
      <c r="AT110" s="245">
        <f t="shared" si="10"/>
        <v>2.609430020530374</v>
      </c>
    </row>
    <row r="111" spans="2:46" ht="12.75">
      <c r="B111" s="338" t="s">
        <v>782</v>
      </c>
      <c r="C111" s="338"/>
      <c r="D111" s="338"/>
      <c r="E111" s="338"/>
      <c r="F111" s="338"/>
      <c r="G111" s="338"/>
      <c r="H111" s="338"/>
      <c r="I111" s="37"/>
      <c r="J111" s="37"/>
      <c r="P111" s="264">
        <v>11.295</v>
      </c>
      <c r="Q111" s="265">
        <v>0.04457</v>
      </c>
      <c r="R111">
        <f t="shared" si="3"/>
        <v>0.18648088</v>
      </c>
      <c r="S111" s="245">
        <f t="shared" si="4"/>
        <v>0.011214183397458177</v>
      </c>
      <c r="T111" s="245"/>
      <c r="U111" s="254">
        <v>100</v>
      </c>
      <c r="V111" s="266">
        <v>12.85</v>
      </c>
      <c r="W111" s="245">
        <f t="shared" si="0"/>
        <v>0.3090981909938168</v>
      </c>
      <c r="X111" s="245"/>
      <c r="Y111" s="260">
        <v>46.05</v>
      </c>
      <c r="Z111" s="263">
        <v>1.8386</v>
      </c>
      <c r="AA111" s="259">
        <f t="shared" si="5"/>
        <v>7.6927024</v>
      </c>
      <c r="AB111" s="245">
        <f t="shared" si="6"/>
        <v>0.4626070808742788</v>
      </c>
      <c r="AC111" s="245"/>
      <c r="AD111" s="256">
        <v>120</v>
      </c>
      <c r="AE111" s="255">
        <v>12300</v>
      </c>
      <c r="AF111" s="245">
        <f t="shared" si="7"/>
        <v>0.7396707683315071</v>
      </c>
      <c r="AG111" s="245"/>
      <c r="AH111" s="256">
        <f t="shared" si="11"/>
        <v>110</v>
      </c>
      <c r="AI111" s="255">
        <v>33990</v>
      </c>
      <c r="AJ111" s="245">
        <f t="shared" si="8"/>
        <v>2.0440170256575554</v>
      </c>
      <c r="AK111" s="245"/>
      <c r="AL111" s="260">
        <v>61.29</v>
      </c>
      <c r="AM111" s="259">
        <v>8.517</v>
      </c>
      <c r="AN111" s="259">
        <f t="shared" si="1"/>
        <v>35.635128</v>
      </c>
      <c r="AO111" s="245">
        <f t="shared" si="9"/>
        <v>2.1429481713293987</v>
      </c>
      <c r="AQ111" s="260">
        <v>58.5</v>
      </c>
      <c r="AR111" s="259">
        <v>10.419</v>
      </c>
      <c r="AS111" s="259">
        <f t="shared" si="2"/>
        <v>43.593096</v>
      </c>
      <c r="AT111" s="245">
        <f t="shared" si="10"/>
        <v>2.621507220509687</v>
      </c>
    </row>
    <row r="112" spans="2:46" ht="12.75">
      <c r="B112" s="338"/>
      <c r="C112" s="338"/>
      <c r="D112" s="338"/>
      <c r="E112" s="338"/>
      <c r="F112" s="338"/>
      <c r="G112" s="338"/>
      <c r="H112" s="338"/>
      <c r="I112" s="37"/>
      <c r="J112" s="37"/>
      <c r="P112" s="264">
        <v>12.288</v>
      </c>
      <c r="Q112" s="265">
        <v>0.05931</v>
      </c>
      <c r="R112">
        <f t="shared" si="3"/>
        <v>0.24815304000000002</v>
      </c>
      <c r="S112" s="245">
        <f t="shared" si="4"/>
        <v>0.014922890224438963</v>
      </c>
      <c r="T112" s="245"/>
      <c r="U112" s="254">
        <v>105</v>
      </c>
      <c r="V112" s="266">
        <v>14.56</v>
      </c>
      <c r="W112" s="245">
        <f t="shared" si="0"/>
        <v>0.3502311020132275</v>
      </c>
      <c r="X112" s="245"/>
      <c r="Y112" s="260">
        <v>46.58</v>
      </c>
      <c r="Z112" s="263">
        <v>1.8862</v>
      </c>
      <c r="AA112" s="259">
        <f t="shared" si="5"/>
        <v>7.891860800000001</v>
      </c>
      <c r="AB112" s="245">
        <f t="shared" si="6"/>
        <v>0.4745836375204312</v>
      </c>
      <c r="AC112" s="245"/>
      <c r="AD112" s="256">
        <v>130</v>
      </c>
      <c r="AE112" s="255">
        <v>14290</v>
      </c>
      <c r="AF112" s="245">
        <f t="shared" si="7"/>
        <v>0.8593410796306697</v>
      </c>
      <c r="AG112" s="245"/>
      <c r="AH112" s="256">
        <f t="shared" si="11"/>
        <v>120</v>
      </c>
      <c r="AI112" s="255">
        <v>35680</v>
      </c>
      <c r="AJ112" s="245">
        <f t="shared" si="8"/>
        <v>2.1456465865096077</v>
      </c>
      <c r="AK112" s="245"/>
      <c r="AL112" s="260">
        <v>64.75</v>
      </c>
      <c r="AM112" s="259">
        <v>8.791</v>
      </c>
      <c r="AN112" s="259">
        <f t="shared" si="1"/>
        <v>36.781544000000004</v>
      </c>
      <c r="AO112" s="245">
        <f t="shared" si="9"/>
        <v>2.211888854544646</v>
      </c>
      <c r="AQ112" s="260">
        <v>60.64</v>
      </c>
      <c r="AR112" s="259">
        <v>10.533</v>
      </c>
      <c r="AS112" s="259">
        <f t="shared" si="2"/>
        <v>44.070071999999996</v>
      </c>
      <c r="AT112" s="245">
        <f t="shared" si="10"/>
        <v>2.650190570460556</v>
      </c>
    </row>
    <row r="113" spans="2:46" ht="12.75">
      <c r="B113" s="338"/>
      <c r="C113" s="338"/>
      <c r="D113" s="338"/>
      <c r="E113" s="338"/>
      <c r="F113" s="338"/>
      <c r="G113" s="338"/>
      <c r="H113" s="338"/>
      <c r="I113" s="37"/>
      <c r="J113" s="37"/>
      <c r="P113" s="264">
        <v>12.298</v>
      </c>
      <c r="Q113" s="265">
        <v>0.05865</v>
      </c>
      <c r="R113">
        <f t="shared" si="3"/>
        <v>0.24539160000000002</v>
      </c>
      <c r="S113" s="245">
        <f t="shared" si="4"/>
        <v>0.014756828724723406</v>
      </c>
      <c r="T113" s="245"/>
      <c r="U113" s="254">
        <v>110</v>
      </c>
      <c r="V113" s="266">
        <v>16.34</v>
      </c>
      <c r="W113" s="245">
        <f t="shared" si="0"/>
        <v>0.3930478164077017</v>
      </c>
      <c r="X113" s="245"/>
      <c r="Y113" s="260">
        <v>51.39</v>
      </c>
      <c r="Z113" s="263">
        <v>2.3573</v>
      </c>
      <c r="AA113" s="259">
        <f t="shared" si="5"/>
        <v>9.8629432</v>
      </c>
      <c r="AB113" s="245">
        <f t="shared" si="6"/>
        <v>0.5931163231507328</v>
      </c>
      <c r="AC113" s="245"/>
      <c r="AD113" s="256">
        <v>140</v>
      </c>
      <c r="AE113" s="255">
        <v>16300</v>
      </c>
      <c r="AF113" s="245">
        <f t="shared" si="7"/>
        <v>0.9802141076263062</v>
      </c>
      <c r="AG113" s="245"/>
      <c r="AH113" s="256">
        <f t="shared" si="11"/>
        <v>130</v>
      </c>
      <c r="AI113" s="255">
        <v>35980</v>
      </c>
      <c r="AJ113" s="245">
        <f t="shared" si="8"/>
        <v>2.163687336956718</v>
      </c>
      <c r="AK113" s="245"/>
      <c r="AL113" s="260">
        <v>68.36</v>
      </c>
      <c r="AM113" s="259">
        <v>9.046</v>
      </c>
      <c r="AN113" s="259">
        <f t="shared" si="1"/>
        <v>37.848464</v>
      </c>
      <c r="AO113" s="245">
        <f t="shared" si="9"/>
        <v>2.276048979434747</v>
      </c>
      <c r="AQ113" s="260">
        <v>63.31</v>
      </c>
      <c r="AR113" s="259">
        <v>10.662</v>
      </c>
      <c r="AS113" s="259">
        <f t="shared" si="2"/>
        <v>44.60980800000001</v>
      </c>
      <c r="AT113" s="245">
        <f t="shared" si="10"/>
        <v>2.682648045404961</v>
      </c>
    </row>
    <row r="114" spans="2:46" ht="12.75">
      <c r="B114" s="338"/>
      <c r="C114" s="338"/>
      <c r="D114" s="338"/>
      <c r="E114" s="338"/>
      <c r="F114" s="338"/>
      <c r="G114" s="338"/>
      <c r="H114" s="338"/>
      <c r="I114" s="37"/>
      <c r="J114" s="37"/>
      <c r="P114" s="264">
        <v>12.46</v>
      </c>
      <c r="Q114" s="265">
        <v>0.063</v>
      </c>
      <c r="R114">
        <f t="shared" si="3"/>
        <v>0.263592</v>
      </c>
      <c r="S114" s="245">
        <f t="shared" si="4"/>
        <v>0.01585132497284867</v>
      </c>
      <c r="T114" s="245"/>
      <c r="U114" s="254">
        <v>115</v>
      </c>
      <c r="V114" s="266">
        <v>18.18</v>
      </c>
      <c r="W114" s="245">
        <f t="shared" si="0"/>
        <v>0.43730779083794474</v>
      </c>
      <c r="X114" s="245"/>
      <c r="Y114" s="260">
        <v>51.94</v>
      </c>
      <c r="Z114" s="263">
        <v>2.4015</v>
      </c>
      <c r="AA114" s="259">
        <f t="shared" si="5"/>
        <v>10.047876</v>
      </c>
      <c r="AB114" s="245">
        <f t="shared" si="6"/>
        <v>0.6042374114650172</v>
      </c>
      <c r="AC114" s="245"/>
      <c r="AD114" s="256">
        <v>150</v>
      </c>
      <c r="AE114" s="255">
        <v>18200</v>
      </c>
      <c r="AF114" s="245">
        <f t="shared" si="7"/>
        <v>1.094472193791336</v>
      </c>
      <c r="AG114" s="245"/>
      <c r="AH114" s="256">
        <f t="shared" si="11"/>
        <v>140</v>
      </c>
      <c r="AI114" s="255">
        <v>38610</v>
      </c>
      <c r="AJ114" s="245">
        <f t="shared" si="8"/>
        <v>2.321844582543048</v>
      </c>
      <c r="AK114" s="245"/>
      <c r="AL114" s="260">
        <v>72.14</v>
      </c>
      <c r="AM114" s="259">
        <v>9.291</v>
      </c>
      <c r="AN114" s="259">
        <f t="shared" si="1"/>
        <v>38.873544</v>
      </c>
      <c r="AO114" s="245">
        <f t="shared" si="9"/>
        <v>2.3376930209958253</v>
      </c>
      <c r="AQ114" s="260">
        <v>63.99</v>
      </c>
      <c r="AR114" s="259">
        <v>10.695</v>
      </c>
      <c r="AS114" s="259">
        <f t="shared" si="2"/>
        <v>44.74788</v>
      </c>
      <c r="AT114" s="245">
        <f t="shared" si="10"/>
        <v>2.690951120390739</v>
      </c>
    </row>
    <row r="115" spans="2:46" ht="12.75">
      <c r="B115" s="210" t="s">
        <v>784</v>
      </c>
      <c r="I115" s="37"/>
      <c r="J115" s="37"/>
      <c r="P115" s="264">
        <v>12.747</v>
      </c>
      <c r="Q115" s="265">
        <v>0.0678</v>
      </c>
      <c r="R115">
        <f t="shared" si="3"/>
        <v>0.2836752</v>
      </c>
      <c r="S115" s="245">
        <f t="shared" si="4"/>
        <v>0.017059044970779997</v>
      </c>
      <c r="T115" s="245"/>
      <c r="U115" s="254">
        <v>120</v>
      </c>
      <c r="V115" s="266">
        <v>20.08</v>
      </c>
      <c r="W115" s="245">
        <f t="shared" si="0"/>
        <v>0.48301102530395645</v>
      </c>
      <c r="X115" s="245"/>
      <c r="Y115" s="260">
        <v>56.6</v>
      </c>
      <c r="Z115" s="263">
        <v>2.88</v>
      </c>
      <c r="AA115" s="259">
        <f t="shared" si="5"/>
        <v>12.04992</v>
      </c>
      <c r="AB115" s="245">
        <f t="shared" si="6"/>
        <v>0.7246319987587964</v>
      </c>
      <c r="AC115" s="245"/>
      <c r="AD115" s="256">
        <v>160</v>
      </c>
      <c r="AE115">
        <v>20510</v>
      </c>
      <c r="AF115" s="245">
        <f t="shared" si="7"/>
        <v>1.2333859722340823</v>
      </c>
      <c r="AG115" s="245"/>
      <c r="AH115" s="256">
        <f t="shared" si="11"/>
        <v>150</v>
      </c>
      <c r="AI115" s="255">
        <v>39750</v>
      </c>
      <c r="AJ115" s="245">
        <f t="shared" si="8"/>
        <v>2.3903994342420662</v>
      </c>
      <c r="AK115" s="245"/>
      <c r="AL115" s="260">
        <v>75.78</v>
      </c>
      <c r="AM115" s="259">
        <v>9.502</v>
      </c>
      <c r="AN115" s="259">
        <f t="shared" si="1"/>
        <v>39.756368</v>
      </c>
      <c r="AO115" s="245">
        <f t="shared" si="9"/>
        <v>2.3907823792382232</v>
      </c>
      <c r="AQ115" s="260">
        <v>66.4</v>
      </c>
      <c r="AR115" s="259">
        <v>10.796</v>
      </c>
      <c r="AS115" s="259">
        <f t="shared" si="2"/>
        <v>45.170464</v>
      </c>
      <c r="AT115" s="245">
        <f t="shared" si="10"/>
        <v>2.716363562013877</v>
      </c>
    </row>
    <row r="116" spans="3:46" ht="12.75">
      <c r="C116" s="4" t="s">
        <v>817</v>
      </c>
      <c r="D116" s="4" t="s">
        <v>828</v>
      </c>
      <c r="E116" t="s">
        <v>829</v>
      </c>
      <c r="F116" t="s">
        <v>818</v>
      </c>
      <c r="I116" s="37"/>
      <c r="J116" s="37"/>
      <c r="P116" s="264">
        <v>13.292</v>
      </c>
      <c r="Q116" s="265">
        <v>0.07796</v>
      </c>
      <c r="R116">
        <f t="shared" si="3"/>
        <v>0.32618464</v>
      </c>
      <c r="S116" s="245">
        <f t="shared" si="4"/>
        <v>0.019615385633067976</v>
      </c>
      <c r="T116" s="245"/>
      <c r="U116" s="254">
        <v>125</v>
      </c>
      <c r="V116" s="266">
        <v>22.01</v>
      </c>
      <c r="W116" s="245">
        <f t="shared" si="0"/>
        <v>0.5294358897878528</v>
      </c>
      <c r="X116" s="245"/>
      <c r="Y116" s="260">
        <v>58.29</v>
      </c>
      <c r="Z116" s="263">
        <v>3.0468</v>
      </c>
      <c r="AA116" s="259">
        <f t="shared" si="5"/>
        <v>12.747811200000001</v>
      </c>
      <c r="AB116" s="245">
        <f t="shared" si="6"/>
        <v>0.76660026868691</v>
      </c>
      <c r="AC116" s="245"/>
      <c r="AD116" s="256">
        <v>170</v>
      </c>
      <c r="AE116">
        <v>21870</v>
      </c>
      <c r="AF116" s="245">
        <f t="shared" si="7"/>
        <v>1.315170707594314</v>
      </c>
      <c r="AG116" s="245"/>
      <c r="AH116" s="256">
        <f t="shared" si="11"/>
        <v>160</v>
      </c>
      <c r="AI116" s="255">
        <v>40700</v>
      </c>
      <c r="AJ116" s="245">
        <f t="shared" si="8"/>
        <v>2.447528477324581</v>
      </c>
      <c r="AK116" s="245"/>
      <c r="AL116" s="260">
        <v>79.28</v>
      </c>
      <c r="AM116" s="259">
        <v>9.718</v>
      </c>
      <c r="AN116" s="259">
        <f t="shared" si="1"/>
        <v>40.660112</v>
      </c>
      <c r="AO116" s="245">
        <f t="shared" si="9"/>
        <v>2.445129779145133</v>
      </c>
      <c r="AQ116" s="260">
        <v>69.62</v>
      </c>
      <c r="AR116" s="259">
        <v>10.886</v>
      </c>
      <c r="AS116" s="259">
        <f t="shared" si="2"/>
        <v>45.547024</v>
      </c>
      <c r="AT116" s="245">
        <f t="shared" si="10"/>
        <v>2.7390083119750894</v>
      </c>
    </row>
    <row r="117" spans="2:46" ht="12.75">
      <c r="B117" s="3" t="s">
        <v>837</v>
      </c>
      <c r="C117">
        <v>970</v>
      </c>
      <c r="D117">
        <v>1036</v>
      </c>
      <c r="E117" s="267">
        <f aca="true" t="shared" si="12" ref="E117:E136">(C117-D117)/D117</f>
        <v>-0.0637065637065637</v>
      </c>
      <c r="F117" s="251">
        <f aca="true" t="shared" si="13" ref="F117:F136">C117-D117</f>
        <v>-66</v>
      </c>
      <c r="G117" s="267"/>
      <c r="H117" s="267"/>
      <c r="I117" s="37"/>
      <c r="J117" s="37"/>
      <c r="P117" s="264">
        <v>14.326</v>
      </c>
      <c r="Q117" s="268">
        <v>0.1004</v>
      </c>
      <c r="R117">
        <f t="shared" si="3"/>
        <v>0.42007360000000005</v>
      </c>
      <c r="S117" s="245">
        <f t="shared" si="4"/>
        <v>0.02526147662339693</v>
      </c>
      <c r="T117" s="245"/>
      <c r="U117" s="254">
        <v>130</v>
      </c>
      <c r="V117" s="266">
        <v>23.97</v>
      </c>
      <c r="W117" s="245">
        <f t="shared" si="0"/>
        <v>0.5765823842896334</v>
      </c>
      <c r="X117" s="245"/>
      <c r="Y117" s="260">
        <v>62.36</v>
      </c>
      <c r="Z117" s="263">
        <v>3.4728</v>
      </c>
      <c r="AA117" s="259">
        <f t="shared" si="5"/>
        <v>14.5301952</v>
      </c>
      <c r="AB117" s="245">
        <f t="shared" si="6"/>
        <v>0.8737854185033153</v>
      </c>
      <c r="AC117" s="245"/>
      <c r="AD117" s="256">
        <v>180</v>
      </c>
      <c r="AE117">
        <v>23890</v>
      </c>
      <c r="AF117" s="245">
        <f t="shared" si="7"/>
        <v>1.4366450939381876</v>
      </c>
      <c r="AG117" s="245"/>
      <c r="AH117" s="256">
        <f t="shared" si="11"/>
        <v>170</v>
      </c>
      <c r="AI117" s="255">
        <v>41490</v>
      </c>
      <c r="AJ117" s="245">
        <f t="shared" si="8"/>
        <v>2.4950357868353037</v>
      </c>
      <c r="AK117" s="245"/>
      <c r="AL117" s="260">
        <v>82.68</v>
      </c>
      <c r="AM117" s="259">
        <v>9.891</v>
      </c>
      <c r="AN117" s="259">
        <f t="shared" si="1"/>
        <v>41.383944</v>
      </c>
      <c r="AO117" s="245">
        <f t="shared" si="9"/>
        <v>2.4886580207372413</v>
      </c>
      <c r="AQ117" s="260">
        <v>73.59</v>
      </c>
      <c r="AR117" s="259">
        <v>11</v>
      </c>
      <c r="AS117" s="259">
        <f t="shared" si="2"/>
        <v>46.024</v>
      </c>
      <c r="AT117" s="245">
        <f t="shared" si="10"/>
        <v>2.767691661925958</v>
      </c>
    </row>
    <row r="118" spans="2:46" ht="12.75">
      <c r="B118" s="3" t="s">
        <v>880</v>
      </c>
      <c r="C118">
        <v>818</v>
      </c>
      <c r="D118">
        <v>853</v>
      </c>
      <c r="E118" s="267">
        <f t="shared" si="12"/>
        <v>-0.041031652989449004</v>
      </c>
      <c r="F118" s="251">
        <f t="shared" si="13"/>
        <v>-35</v>
      </c>
      <c r="G118" s="267"/>
      <c r="H118" s="267"/>
      <c r="I118" s="37"/>
      <c r="J118" s="37"/>
      <c r="P118" s="264">
        <v>15.301</v>
      </c>
      <c r="Q118" s="268">
        <v>0.1247</v>
      </c>
      <c r="R118">
        <f t="shared" si="3"/>
        <v>0.5217448</v>
      </c>
      <c r="S118" s="245">
        <f t="shared" si="4"/>
        <v>0.03137555911292427</v>
      </c>
      <c r="T118" s="245"/>
      <c r="U118" s="254">
        <v>135</v>
      </c>
      <c r="V118" s="266">
        <v>25.95</v>
      </c>
      <c r="W118" s="245">
        <f t="shared" si="0"/>
        <v>0.6242099654700036</v>
      </c>
      <c r="X118" s="245"/>
      <c r="Y118" s="260">
        <v>64.71</v>
      </c>
      <c r="Z118" s="263">
        <v>3.7037</v>
      </c>
      <c r="AA118" s="259">
        <f t="shared" si="5"/>
        <v>15.496280800000001</v>
      </c>
      <c r="AB118" s="245">
        <f t="shared" si="6"/>
        <v>0.9318817825704702</v>
      </c>
      <c r="AC118" s="245"/>
      <c r="AD118" s="256">
        <v>190</v>
      </c>
      <c r="AE118">
        <v>25230</v>
      </c>
      <c r="AF118" s="245">
        <f t="shared" si="7"/>
        <v>1.5172271126019452</v>
      </c>
      <c r="AG118" s="245"/>
      <c r="AH118" s="256">
        <f t="shared" si="11"/>
        <v>180</v>
      </c>
      <c r="AI118" s="255">
        <v>42220</v>
      </c>
      <c r="AJ118" s="245">
        <f t="shared" si="8"/>
        <v>2.5389349462566044</v>
      </c>
      <c r="AK118" s="245"/>
      <c r="AL118" s="260">
        <v>85.98</v>
      </c>
      <c r="AM118" s="259">
        <v>10.049</v>
      </c>
      <c r="AN118" s="259">
        <f t="shared" si="1"/>
        <v>42.045016</v>
      </c>
      <c r="AO118" s="245">
        <f t="shared" si="9"/>
        <v>2.5284121373358137</v>
      </c>
      <c r="AQ118" s="260">
        <v>77.43</v>
      </c>
      <c r="AR118" s="259">
        <v>11.132</v>
      </c>
      <c r="AS118" s="259">
        <f t="shared" si="2"/>
        <v>46.576288</v>
      </c>
      <c r="AT118" s="245">
        <f t="shared" si="10"/>
        <v>2.8009039618690696</v>
      </c>
    </row>
    <row r="119" spans="2:46" ht="12.75">
      <c r="B119" s="3" t="s">
        <v>838</v>
      </c>
      <c r="C119">
        <v>779</v>
      </c>
      <c r="D119">
        <v>807</v>
      </c>
      <c r="E119" s="267">
        <f t="shared" si="12"/>
        <v>-0.03469640644361834</v>
      </c>
      <c r="F119" s="251">
        <f t="shared" si="13"/>
        <v>-28</v>
      </c>
      <c r="G119" s="267"/>
      <c r="H119" s="267"/>
      <c r="I119" s="37"/>
      <c r="J119" s="37"/>
      <c r="P119" s="264">
        <v>15.377</v>
      </c>
      <c r="Q119" s="268">
        <v>0.1271</v>
      </c>
      <c r="R119">
        <f t="shared" si="3"/>
        <v>0.5317864</v>
      </c>
      <c r="S119" s="245">
        <f t="shared" si="4"/>
        <v>0.03197941911188994</v>
      </c>
      <c r="T119" s="245"/>
      <c r="U119" s="254">
        <v>140</v>
      </c>
      <c r="V119" s="266">
        <v>27.94</v>
      </c>
      <c r="W119" s="245">
        <f t="shared" si="0"/>
        <v>0.6720780899896687</v>
      </c>
      <c r="X119" s="245"/>
      <c r="Y119" s="260">
        <v>68.53</v>
      </c>
      <c r="Z119" s="263">
        <v>4.0884</v>
      </c>
      <c r="AA119" s="259">
        <f t="shared" si="5"/>
        <v>17.1058656</v>
      </c>
      <c r="AB119" s="245">
        <f t="shared" si="6"/>
        <v>1.0286755082380081</v>
      </c>
      <c r="AC119" s="245"/>
      <c r="AD119" s="256">
        <v>200</v>
      </c>
      <c r="AE119">
        <v>26750</v>
      </c>
      <c r="AF119" s="245">
        <f t="shared" si="7"/>
        <v>1.608633581533969</v>
      </c>
      <c r="AG119" s="245"/>
      <c r="AH119" s="256">
        <f t="shared" si="11"/>
        <v>190</v>
      </c>
      <c r="AI119" s="255">
        <v>42850</v>
      </c>
      <c r="AJ119" s="245">
        <f t="shared" si="8"/>
        <v>2.576820522195535</v>
      </c>
      <c r="AK119" s="245"/>
      <c r="AL119" s="260">
        <v>88.79</v>
      </c>
      <c r="AM119" s="259">
        <v>10.168</v>
      </c>
      <c r="AN119" s="259">
        <f t="shared" si="1"/>
        <v>42.542912</v>
      </c>
      <c r="AO119" s="245">
        <f t="shared" si="9"/>
        <v>2.5583535289511947</v>
      </c>
      <c r="AQ119" s="260">
        <v>81.14</v>
      </c>
      <c r="AR119" s="259">
        <v>11.241</v>
      </c>
      <c r="AS119" s="259">
        <f t="shared" si="2"/>
        <v>47.032344</v>
      </c>
      <c r="AT119" s="245">
        <f t="shared" si="10"/>
        <v>2.828329270155427</v>
      </c>
    </row>
    <row r="120" spans="2:46" ht="12.75">
      <c r="B120" s="3" t="s">
        <v>836</v>
      </c>
      <c r="C120">
        <v>725</v>
      </c>
      <c r="D120">
        <v>757</v>
      </c>
      <c r="E120" s="267">
        <f t="shared" si="12"/>
        <v>-0.04227212681638045</v>
      </c>
      <c r="F120" s="251">
        <f t="shared" si="13"/>
        <v>-32</v>
      </c>
      <c r="G120" s="267"/>
      <c r="H120" s="267"/>
      <c r="I120" s="37"/>
      <c r="J120" s="37"/>
      <c r="P120" s="264">
        <v>15.727</v>
      </c>
      <c r="Q120" s="268">
        <v>0.1378</v>
      </c>
      <c r="R120">
        <f t="shared" si="3"/>
        <v>0.5765552</v>
      </c>
      <c r="S120" s="245">
        <f t="shared" si="4"/>
        <v>0.03467162827394519</v>
      </c>
      <c r="T120" s="245"/>
      <c r="U120" s="254">
        <v>145</v>
      </c>
      <c r="V120" s="266">
        <v>29.75</v>
      </c>
      <c r="W120" s="245">
        <f t="shared" si="0"/>
        <v>0.7156164344020273</v>
      </c>
      <c r="X120" s="245"/>
      <c r="Y120" s="260">
        <v>71.8</v>
      </c>
      <c r="Z120" s="263">
        <v>4.4009</v>
      </c>
      <c r="AA120" s="259">
        <f t="shared" si="5"/>
        <v>18.413365600000002</v>
      </c>
      <c r="AB120" s="245">
        <f t="shared" si="6"/>
        <v>1.1073031122699957</v>
      </c>
      <c r="AC120" s="245"/>
      <c r="AD120" s="256">
        <v>210</v>
      </c>
      <c r="AE120">
        <v>27080</v>
      </c>
      <c r="AF120" s="245">
        <f t="shared" si="7"/>
        <v>1.6284784070257896</v>
      </c>
      <c r="AG120" s="245"/>
      <c r="AH120" s="256">
        <f t="shared" si="11"/>
        <v>200</v>
      </c>
      <c r="AI120" s="255">
        <v>43550</v>
      </c>
      <c r="AJ120" s="245">
        <f t="shared" si="8"/>
        <v>2.618915606572125</v>
      </c>
      <c r="AK120" s="245"/>
      <c r="AL120" s="260">
        <v>91.69</v>
      </c>
      <c r="AM120" s="259">
        <v>10.272</v>
      </c>
      <c r="AN120" s="259">
        <f t="shared" si="1"/>
        <v>42.978048</v>
      </c>
      <c r="AO120" s="245">
        <f t="shared" si="9"/>
        <v>2.5845207955730403</v>
      </c>
      <c r="AQ120" s="260">
        <v>85.71</v>
      </c>
      <c r="AR120" s="259">
        <v>11.364</v>
      </c>
      <c r="AS120" s="259">
        <f t="shared" si="2"/>
        <v>47.54697600000001</v>
      </c>
      <c r="AT120" s="245">
        <f t="shared" si="10"/>
        <v>2.8592770951024176</v>
      </c>
    </row>
    <row r="121" spans="2:46" ht="12.75">
      <c r="B121" s="3" t="s">
        <v>751</v>
      </c>
      <c r="C121">
        <v>882</v>
      </c>
      <c r="D121">
        <v>923</v>
      </c>
      <c r="E121" s="267">
        <f t="shared" si="12"/>
        <v>-0.044420368364030335</v>
      </c>
      <c r="F121" s="251">
        <f t="shared" si="13"/>
        <v>-41</v>
      </c>
      <c r="G121" s="267"/>
      <c r="H121" s="267"/>
      <c r="I121" s="37"/>
      <c r="J121" s="37"/>
      <c r="P121" s="264">
        <v>16.478</v>
      </c>
      <c r="Q121" s="268">
        <v>0.1617</v>
      </c>
      <c r="R121">
        <f t="shared" si="3"/>
        <v>0.6765528000000001</v>
      </c>
      <c r="S121" s="245">
        <f t="shared" si="4"/>
        <v>0.04068506743031159</v>
      </c>
      <c r="T121" s="245"/>
      <c r="U121" s="254">
        <v>150</v>
      </c>
      <c r="V121" s="266">
        <v>31.95</v>
      </c>
      <c r="W121" s="245">
        <f t="shared" si="0"/>
        <v>0.768535969046883</v>
      </c>
      <c r="X121" s="245"/>
      <c r="Y121" s="260">
        <v>74.98</v>
      </c>
      <c r="Z121" s="263">
        <v>4.6886</v>
      </c>
      <c r="AA121" s="259">
        <f t="shared" si="5"/>
        <v>19.6171024</v>
      </c>
      <c r="AB121" s="245">
        <f t="shared" si="6"/>
        <v>1.1796908296460045</v>
      </c>
      <c r="AC121" s="245"/>
      <c r="AD121" s="256">
        <v>220</v>
      </c>
      <c r="AE121">
        <v>29400</v>
      </c>
      <c r="AF121" s="245">
        <f t="shared" si="7"/>
        <v>1.7679935438167733</v>
      </c>
      <c r="AG121" s="245"/>
      <c r="AH121" s="256">
        <f t="shared" si="11"/>
        <v>210</v>
      </c>
      <c r="AI121" s="255">
        <v>44100</v>
      </c>
      <c r="AJ121" s="245">
        <f t="shared" si="8"/>
        <v>2.65199031572516</v>
      </c>
      <c r="AK121" s="245"/>
      <c r="AL121" s="260">
        <v>94.8</v>
      </c>
      <c r="AM121" s="259">
        <v>10.376</v>
      </c>
      <c r="AN121" s="259">
        <f t="shared" si="1"/>
        <v>43.413184</v>
      </c>
      <c r="AO121" s="245">
        <f t="shared" si="9"/>
        <v>2.610688062194886</v>
      </c>
      <c r="AQ121" s="260">
        <v>91.11</v>
      </c>
      <c r="AR121" s="259">
        <v>11.445</v>
      </c>
      <c r="AS121" s="259">
        <f t="shared" si="2"/>
        <v>47.88588</v>
      </c>
      <c r="AT121" s="245">
        <f t="shared" si="10"/>
        <v>2.8796573700675085</v>
      </c>
    </row>
    <row r="122" spans="2:46" ht="12.75">
      <c r="B122" s="3" t="s">
        <v>879</v>
      </c>
      <c r="C122">
        <v>753</v>
      </c>
      <c r="D122">
        <v>786</v>
      </c>
      <c r="E122" s="267">
        <f t="shared" si="12"/>
        <v>-0.04198473282442748</v>
      </c>
      <c r="F122" s="251">
        <f t="shared" si="13"/>
        <v>-33</v>
      </c>
      <c r="G122" s="267"/>
      <c r="H122" s="267"/>
      <c r="I122" s="37"/>
      <c r="J122" s="37"/>
      <c r="P122" s="264">
        <v>17.075</v>
      </c>
      <c r="Q122" s="268">
        <v>0.1798</v>
      </c>
      <c r="R122">
        <f t="shared" si="3"/>
        <v>0.7522831999999999</v>
      </c>
      <c r="S122" s="245">
        <f t="shared" si="4"/>
        <v>0.045239178255844295</v>
      </c>
      <c r="T122" s="245"/>
      <c r="U122" s="254">
        <v>155</v>
      </c>
      <c r="V122" s="266">
        <v>33.96</v>
      </c>
      <c r="W122" s="245">
        <f t="shared" si="0"/>
        <v>0.8168851802451377</v>
      </c>
      <c r="X122" s="245"/>
      <c r="Y122" s="260">
        <v>80.03</v>
      </c>
      <c r="Z122" s="263">
        <v>5.1198</v>
      </c>
      <c r="AA122" s="259">
        <f t="shared" si="5"/>
        <v>21.4212432</v>
      </c>
      <c r="AB122" s="245">
        <f t="shared" si="6"/>
        <v>1.2881843427935018</v>
      </c>
      <c r="AC122" s="245"/>
      <c r="AD122" s="256">
        <v>230</v>
      </c>
      <c r="AE122">
        <v>30650</v>
      </c>
      <c r="AF122" s="245">
        <f t="shared" si="7"/>
        <v>1.843163337346398</v>
      </c>
      <c r="AG122" s="245"/>
      <c r="AH122" s="256">
        <f t="shared" si="11"/>
        <v>220</v>
      </c>
      <c r="AI122" s="255">
        <v>44600</v>
      </c>
      <c r="AJ122" s="245">
        <f t="shared" si="8"/>
        <v>2.6820582331370098</v>
      </c>
      <c r="AK122" s="245"/>
      <c r="AL122" s="260">
        <v>97.85</v>
      </c>
      <c r="AM122" s="259">
        <v>10.475</v>
      </c>
      <c r="AN122" s="259">
        <f t="shared" si="1"/>
        <v>43.8274</v>
      </c>
      <c r="AO122" s="245">
        <f t="shared" si="9"/>
        <v>2.635597287152219</v>
      </c>
      <c r="AQ122" s="260">
        <v>96.33</v>
      </c>
      <c r="AR122" s="259">
        <v>11.518</v>
      </c>
      <c r="AS122" s="259">
        <f t="shared" si="2"/>
        <v>48.191312</v>
      </c>
      <c r="AT122" s="245">
        <f t="shared" si="10"/>
        <v>2.898024778369381</v>
      </c>
    </row>
    <row r="123" spans="2:46" ht="12.75">
      <c r="B123" s="3" t="s">
        <v>749</v>
      </c>
      <c r="C123">
        <v>720</v>
      </c>
      <c r="D123">
        <v>747</v>
      </c>
      <c r="E123" s="267">
        <f t="shared" si="12"/>
        <v>-0.03614457831325301</v>
      </c>
      <c r="F123" s="251">
        <f t="shared" si="13"/>
        <v>-27</v>
      </c>
      <c r="G123" s="267"/>
      <c r="H123" s="267"/>
      <c r="I123" s="37"/>
      <c r="J123" s="37"/>
      <c r="P123" s="264">
        <v>17.534</v>
      </c>
      <c r="Q123" s="268">
        <v>0.1996</v>
      </c>
      <c r="R123">
        <f t="shared" si="3"/>
        <v>0.8351264</v>
      </c>
      <c r="S123" s="245">
        <f t="shared" si="4"/>
        <v>0.05022102324731103</v>
      </c>
      <c r="T123" s="245"/>
      <c r="U123" s="254">
        <v>160</v>
      </c>
      <c r="V123" s="266">
        <v>35.95</v>
      </c>
      <c r="W123" s="245">
        <f aca="true" t="shared" si="14" ref="W123:W153">V123/Rjmk/$W$90</f>
        <v>0.8647533047648027</v>
      </c>
      <c r="X123" s="245"/>
      <c r="Y123" s="260">
        <v>81.43</v>
      </c>
      <c r="Z123" s="263">
        <v>5.2512</v>
      </c>
      <c r="AA123" s="259">
        <f t="shared" si="5"/>
        <v>21.9710208</v>
      </c>
      <c r="AB123" s="245">
        <f t="shared" si="6"/>
        <v>1.3212456777368722</v>
      </c>
      <c r="AC123" s="245"/>
      <c r="AD123" s="256">
        <v>240</v>
      </c>
      <c r="AE123">
        <v>31750</v>
      </c>
      <c r="AF123" s="245">
        <f t="shared" si="7"/>
        <v>1.9093127556524678</v>
      </c>
      <c r="AG123" s="245"/>
      <c r="AH123" s="256">
        <f t="shared" si="11"/>
        <v>230</v>
      </c>
      <c r="AI123" s="255">
        <v>44920</v>
      </c>
      <c r="AJ123" s="245">
        <f t="shared" si="8"/>
        <v>2.7013017002805935</v>
      </c>
      <c r="AK123" s="245"/>
      <c r="AL123" s="260">
        <v>100.85</v>
      </c>
      <c r="AM123" s="259">
        <v>10.564</v>
      </c>
      <c r="AN123" s="259">
        <f aca="true" t="shared" si="15" ref="AN123:AN149">AM123*4.184</f>
        <v>44.199776</v>
      </c>
      <c r="AO123" s="245">
        <f t="shared" si="9"/>
        <v>2.657990428780529</v>
      </c>
      <c r="AQ123" s="260">
        <v>101.42</v>
      </c>
      <c r="AR123" s="259">
        <v>11.587</v>
      </c>
      <c r="AS123" s="259">
        <f aca="true" t="shared" si="16" ref="AS123:AS145">AR123*4.184</f>
        <v>48.480008</v>
      </c>
      <c r="AT123" s="245">
        <f t="shared" si="10"/>
        <v>2.9153857533396432</v>
      </c>
    </row>
    <row r="124" spans="2:46" ht="12.75">
      <c r="B124" s="3" t="s">
        <v>750</v>
      </c>
      <c r="C124">
        <v>673</v>
      </c>
      <c r="D124">
        <v>704</v>
      </c>
      <c r="E124" s="267">
        <f t="shared" si="12"/>
        <v>-0.04403409090909091</v>
      </c>
      <c r="F124" s="251">
        <f t="shared" si="13"/>
        <v>-31</v>
      </c>
      <c r="G124" s="267"/>
      <c r="H124" s="267"/>
      <c r="I124" s="37"/>
      <c r="J124" s="37"/>
      <c r="P124" s="264">
        <v>18.134</v>
      </c>
      <c r="Q124" s="268">
        <v>0.2223</v>
      </c>
      <c r="R124">
        <f aca="true" t="shared" si="17" ref="R124:R155">Q124*4.184</f>
        <v>0.9301032</v>
      </c>
      <c r="S124" s="245">
        <f aca="true" t="shared" si="18" ref="S124:S155">R124/Rjmk/$S$90</f>
        <v>0.055932532404194595</v>
      </c>
      <c r="T124" s="245"/>
      <c r="U124" s="254">
        <v>165</v>
      </c>
      <c r="V124" s="266">
        <v>37.93</v>
      </c>
      <c r="W124" s="245">
        <f t="shared" si="14"/>
        <v>0.912380885945173</v>
      </c>
      <c r="X124" s="245"/>
      <c r="Y124" s="260">
        <v>88.01</v>
      </c>
      <c r="Z124" s="263">
        <v>5.7732</v>
      </c>
      <c r="AA124" s="259">
        <f aca="true" t="shared" si="19" ref="AA124:AA155">Z124*4.184</f>
        <v>24.155068800000002</v>
      </c>
      <c r="AB124" s="245">
        <f aca="true" t="shared" si="20" ref="AB124:AB155">AA124/Rjmk/$AB$90</f>
        <v>1.452585227511904</v>
      </c>
      <c r="AC124" s="245"/>
      <c r="AD124" s="256">
        <v>250</v>
      </c>
      <c r="AE124">
        <v>32810</v>
      </c>
      <c r="AF124" s="245">
        <f t="shared" si="7"/>
        <v>1.9730567405655894</v>
      </c>
      <c r="AG124" s="245"/>
      <c r="AH124" s="256">
        <f t="shared" si="11"/>
        <v>240</v>
      </c>
      <c r="AI124" s="255">
        <v>45180</v>
      </c>
      <c r="AJ124" s="245">
        <f t="shared" si="8"/>
        <v>2.7169370173347556</v>
      </c>
      <c r="AK124" s="245"/>
      <c r="AL124" s="260">
        <v>106.47</v>
      </c>
      <c r="AM124" s="259">
        <v>10.705</v>
      </c>
      <c r="AN124" s="259">
        <f t="shared" si="15"/>
        <v>44.78972</v>
      </c>
      <c r="AO124" s="245">
        <f aca="true" t="shared" si="21" ref="AO124:AO149">AN124/Rjmk/$AB$90</f>
        <v>2.6934672037197624</v>
      </c>
      <c r="AQ124" s="260">
        <v>106.39</v>
      </c>
      <c r="AR124" s="259">
        <v>11.635</v>
      </c>
      <c r="AS124" s="259">
        <f t="shared" si="16"/>
        <v>48.68084</v>
      </c>
      <c r="AT124" s="245">
        <f aca="true" t="shared" si="22" ref="AT124:AT145">AS124/Rjmk/$AB$90</f>
        <v>2.927462953318957</v>
      </c>
    </row>
    <row r="125" spans="2:46" ht="12.75">
      <c r="B125" s="3" t="s">
        <v>752</v>
      </c>
      <c r="C125">
        <v>782</v>
      </c>
      <c r="D125">
        <v>821</v>
      </c>
      <c r="E125" s="267">
        <f t="shared" si="12"/>
        <v>-0.047503045066991476</v>
      </c>
      <c r="F125" s="251">
        <f t="shared" si="13"/>
        <v>-39</v>
      </c>
      <c r="G125" s="267"/>
      <c r="H125" s="267"/>
      <c r="I125" s="37"/>
      <c r="J125" s="37"/>
      <c r="P125" s="264">
        <v>18.347</v>
      </c>
      <c r="Q125" s="268">
        <v>0.2341</v>
      </c>
      <c r="R125">
        <f t="shared" si="17"/>
        <v>0.9794744000000001</v>
      </c>
      <c r="S125" s="245">
        <f t="shared" si="18"/>
        <v>0.058901510732442444</v>
      </c>
      <c r="T125" s="245"/>
      <c r="U125" s="254">
        <v>170</v>
      </c>
      <c r="V125" s="266">
        <v>39.9</v>
      </c>
      <c r="W125" s="245">
        <f t="shared" si="14"/>
        <v>0.9597679237862483</v>
      </c>
      <c r="X125" s="245"/>
      <c r="Y125" s="260">
        <v>88.52</v>
      </c>
      <c r="Z125" s="263">
        <v>5.8057</v>
      </c>
      <c r="AA125" s="259">
        <f t="shared" si="19"/>
        <v>24.2910488</v>
      </c>
      <c r="AB125" s="245">
        <f t="shared" si="20"/>
        <v>1.4607624983312304</v>
      </c>
      <c r="AC125" s="245"/>
      <c r="AD125" s="256">
        <v>260</v>
      </c>
      <c r="AE125">
        <v>33880</v>
      </c>
      <c r="AF125" s="245">
        <f t="shared" si="7"/>
        <v>2.037402083826948</v>
      </c>
      <c r="AG125" s="245"/>
      <c r="AH125" s="256">
        <f t="shared" si="11"/>
        <v>250</v>
      </c>
      <c r="AI125" s="255">
        <v>45460</v>
      </c>
      <c r="AJ125" s="245">
        <f t="shared" si="8"/>
        <v>2.7337750510853915</v>
      </c>
      <c r="AK125" s="245"/>
      <c r="AL125" s="260">
        <v>110.08</v>
      </c>
      <c r="AM125" s="259">
        <v>10.8</v>
      </c>
      <c r="AN125" s="259">
        <f t="shared" si="15"/>
        <v>45.187200000000004</v>
      </c>
      <c r="AO125" s="245">
        <f t="shared" si="21"/>
        <v>2.7173699953454866</v>
      </c>
      <c r="AQ125" s="260">
        <v>115.66</v>
      </c>
      <c r="AR125" s="259">
        <v>11.738</v>
      </c>
      <c r="AS125" s="259">
        <f t="shared" si="16"/>
        <v>49.111792</v>
      </c>
      <c r="AT125" s="245">
        <f t="shared" si="22"/>
        <v>2.9533786116078997</v>
      </c>
    </row>
    <row r="126" spans="2:46" ht="12.75">
      <c r="B126" s="3" t="s">
        <v>753</v>
      </c>
      <c r="C126">
        <v>679</v>
      </c>
      <c r="D126">
        <v>715</v>
      </c>
      <c r="E126" s="267">
        <f t="shared" si="12"/>
        <v>-0.05034965034965035</v>
      </c>
      <c r="F126" s="251">
        <f t="shared" si="13"/>
        <v>-36</v>
      </c>
      <c r="G126" s="267"/>
      <c r="H126" s="267"/>
      <c r="I126" s="37"/>
      <c r="J126" s="37"/>
      <c r="P126" s="264">
        <v>18.525</v>
      </c>
      <c r="Q126" s="268">
        <v>0.2415</v>
      </c>
      <c r="R126">
        <f t="shared" si="17"/>
        <v>1.0104360000000001</v>
      </c>
      <c r="S126" s="245">
        <f t="shared" si="18"/>
        <v>0.06076341239591991</v>
      </c>
      <c r="T126" s="245"/>
      <c r="U126" s="254">
        <v>175</v>
      </c>
      <c r="V126" s="266">
        <v>41.84</v>
      </c>
      <c r="W126" s="245">
        <f t="shared" si="14"/>
        <v>1.0064333316094394</v>
      </c>
      <c r="X126" s="245"/>
      <c r="Y126" s="260">
        <v>95.08</v>
      </c>
      <c r="Z126" s="263">
        <v>6.3009</v>
      </c>
      <c r="AA126" s="259">
        <f t="shared" si="19"/>
        <v>26.362965600000003</v>
      </c>
      <c r="AB126" s="245">
        <f t="shared" si="20"/>
        <v>1.5853589447844794</v>
      </c>
      <c r="AC126" s="245"/>
      <c r="AD126" s="256">
        <v>270</v>
      </c>
      <c r="AE126">
        <v>34760</v>
      </c>
      <c r="AF126" s="245">
        <f t="shared" si="7"/>
        <v>2.090321618471804</v>
      </c>
      <c r="AG126" s="245"/>
      <c r="AH126" s="256">
        <f t="shared" si="11"/>
        <v>260</v>
      </c>
      <c r="AI126" s="255">
        <v>45710</v>
      </c>
      <c r="AJ126" s="245">
        <f t="shared" si="8"/>
        <v>2.7488090097913163</v>
      </c>
      <c r="AK126" s="245"/>
      <c r="AL126" s="260">
        <v>117.13</v>
      </c>
      <c r="AM126" s="259">
        <v>10.965</v>
      </c>
      <c r="AN126" s="259">
        <f t="shared" si="15"/>
        <v>45.87756</v>
      </c>
      <c r="AO126" s="245">
        <f t="shared" si="21"/>
        <v>2.758885370274376</v>
      </c>
      <c r="AQ126" s="260">
        <v>124.97</v>
      </c>
      <c r="AR126" s="259">
        <v>11.85</v>
      </c>
      <c r="AS126" s="259">
        <f t="shared" si="16"/>
        <v>49.5804</v>
      </c>
      <c r="AT126" s="245">
        <f t="shared" si="22"/>
        <v>2.981558744892964</v>
      </c>
    </row>
    <row r="127" spans="2:46" ht="12.75">
      <c r="B127" s="3" t="s">
        <v>754</v>
      </c>
      <c r="C127">
        <v>652</v>
      </c>
      <c r="D127">
        <v>682</v>
      </c>
      <c r="E127" s="267">
        <f t="shared" si="12"/>
        <v>-0.04398826979472141</v>
      </c>
      <c r="F127" s="251">
        <f t="shared" si="13"/>
        <v>-30</v>
      </c>
      <c r="G127" s="267"/>
      <c r="H127" s="267"/>
      <c r="I127" s="37"/>
      <c r="J127" s="37"/>
      <c r="P127" s="264">
        <v>19.557</v>
      </c>
      <c r="Q127" s="268">
        <v>0.2901</v>
      </c>
      <c r="R127">
        <f t="shared" si="17"/>
        <v>1.2137784000000003</v>
      </c>
      <c r="S127" s="245">
        <f t="shared" si="18"/>
        <v>0.07299157737497461</v>
      </c>
      <c r="T127" s="245"/>
      <c r="U127" s="254">
        <v>180</v>
      </c>
      <c r="V127" s="266">
        <v>43.76</v>
      </c>
      <c r="W127" s="245">
        <f t="shared" si="14"/>
        <v>1.0526176527540407</v>
      </c>
      <c r="X127" s="245"/>
      <c r="Y127" s="260">
        <v>97.03</v>
      </c>
      <c r="Z127" s="263">
        <v>6.4289</v>
      </c>
      <c r="AA127" s="259">
        <f t="shared" si="19"/>
        <v>26.898517599999998</v>
      </c>
      <c r="AB127" s="245">
        <f t="shared" si="20"/>
        <v>1.617564811395981</v>
      </c>
      <c r="AC127" s="245"/>
      <c r="AD127" s="256">
        <v>280</v>
      </c>
      <c r="AE127">
        <v>35660</v>
      </c>
      <c r="AF127" s="245">
        <f t="shared" si="7"/>
        <v>2.144443869813134</v>
      </c>
      <c r="AG127" s="245"/>
      <c r="AH127" s="256">
        <f t="shared" si="11"/>
        <v>270</v>
      </c>
      <c r="AI127" s="255">
        <v>46010</v>
      </c>
      <c r="AJ127" s="245">
        <f t="shared" si="8"/>
        <v>2.7668497602384265</v>
      </c>
      <c r="AK127" s="245"/>
      <c r="AL127" s="260">
        <v>124.32</v>
      </c>
      <c r="AM127" s="259">
        <v>11.124</v>
      </c>
      <c r="AN127" s="259">
        <f t="shared" si="15"/>
        <v>46.542816</v>
      </c>
      <c r="AO127" s="245">
        <f t="shared" si="21"/>
        <v>2.798891095205851</v>
      </c>
      <c r="AQ127" s="260">
        <v>133.98</v>
      </c>
      <c r="AR127" s="259">
        <v>11.929</v>
      </c>
      <c r="AS127" s="259">
        <f t="shared" si="16"/>
        <v>49.91093600000001</v>
      </c>
      <c r="AT127" s="245">
        <f t="shared" si="22"/>
        <v>3.001435803192251</v>
      </c>
    </row>
    <row r="128" spans="2:46" ht="12.75">
      <c r="B128" s="3" t="s">
        <v>755</v>
      </c>
      <c r="C128">
        <v>613</v>
      </c>
      <c r="D128">
        <v>649</v>
      </c>
      <c r="E128" s="267">
        <f t="shared" si="12"/>
        <v>-0.05546995377503852</v>
      </c>
      <c r="F128" s="251">
        <f t="shared" si="13"/>
        <v>-36</v>
      </c>
      <c r="G128" s="267"/>
      <c r="H128" s="267"/>
      <c r="I128" s="37"/>
      <c r="J128" s="37"/>
      <c r="P128" s="264">
        <v>19.97</v>
      </c>
      <c r="Q128" s="268">
        <v>0.3109</v>
      </c>
      <c r="R128">
        <f t="shared" si="17"/>
        <v>1.3008056000000001</v>
      </c>
      <c r="S128" s="245">
        <f t="shared" si="18"/>
        <v>0.07822503069934368</v>
      </c>
      <c r="T128" s="245"/>
      <c r="U128" s="254">
        <v>185</v>
      </c>
      <c r="V128" s="266">
        <v>45.65</v>
      </c>
      <c r="W128" s="245">
        <f t="shared" si="14"/>
        <v>1.0980803438807578</v>
      </c>
      <c r="X128" s="245"/>
      <c r="Y128" s="260">
        <v>102.03</v>
      </c>
      <c r="Z128" s="263">
        <v>6.7694</v>
      </c>
      <c r="AA128" s="259">
        <f t="shared" si="19"/>
        <v>28.3231696</v>
      </c>
      <c r="AB128" s="245">
        <f t="shared" si="20"/>
        <v>1.7032374487492348</v>
      </c>
      <c r="AC128" s="245"/>
      <c r="AD128" s="256">
        <v>290</v>
      </c>
      <c r="AE128">
        <v>36550</v>
      </c>
      <c r="AF128" s="245">
        <f t="shared" si="7"/>
        <v>2.1979647628062264</v>
      </c>
      <c r="AG128" s="245"/>
      <c r="AH128" s="256">
        <f t="shared" si="11"/>
        <v>280</v>
      </c>
      <c r="AI128" s="255">
        <v>46330</v>
      </c>
      <c r="AJ128" s="245">
        <f t="shared" si="8"/>
        <v>2.7860932273820103</v>
      </c>
      <c r="AK128" s="245"/>
      <c r="AL128" s="260">
        <v>132.32</v>
      </c>
      <c r="AM128" s="259">
        <v>11.265</v>
      </c>
      <c r="AN128" s="259">
        <f t="shared" si="15"/>
        <v>47.132760000000005</v>
      </c>
      <c r="AO128" s="245">
        <f t="shared" si="21"/>
        <v>2.834367870145084</v>
      </c>
      <c r="AQ128" s="260">
        <v>142.77</v>
      </c>
      <c r="AR128" s="259">
        <v>11.996</v>
      </c>
      <c r="AS128" s="259">
        <f t="shared" si="16"/>
        <v>50.191264000000004</v>
      </c>
      <c r="AT128" s="245">
        <f t="shared" si="22"/>
        <v>3.018293561496709</v>
      </c>
    </row>
    <row r="129" spans="2:46" ht="12.75">
      <c r="B129" s="3" t="s">
        <v>756</v>
      </c>
      <c r="C129">
        <v>749</v>
      </c>
      <c r="D129">
        <v>785</v>
      </c>
      <c r="E129" s="267">
        <f t="shared" si="12"/>
        <v>-0.045859872611464965</v>
      </c>
      <c r="F129" s="251">
        <f t="shared" si="13"/>
        <v>-36</v>
      </c>
      <c r="G129" s="267"/>
      <c r="H129" s="267"/>
      <c r="I129" s="37"/>
      <c r="J129" s="37"/>
      <c r="P129" s="264">
        <v>20.573</v>
      </c>
      <c r="Q129" s="268">
        <v>0.3438</v>
      </c>
      <c r="R129">
        <f t="shared" si="17"/>
        <v>1.4384592</v>
      </c>
      <c r="S129" s="245">
        <f t="shared" si="18"/>
        <v>0.08650294485183131</v>
      </c>
      <c r="T129" s="245"/>
      <c r="U129" s="254">
        <v>190</v>
      </c>
      <c r="V129" s="266">
        <v>47.51</v>
      </c>
      <c r="W129" s="245">
        <f t="shared" si="14"/>
        <v>1.1428214049895904</v>
      </c>
      <c r="X129" s="245"/>
      <c r="Y129" s="260">
        <v>109.3</v>
      </c>
      <c r="Z129" s="263">
        <v>7.2094</v>
      </c>
      <c r="AA129" s="259">
        <f t="shared" si="19"/>
        <v>30.1641296</v>
      </c>
      <c r="AB129" s="245">
        <f t="shared" si="20"/>
        <v>1.8139451152262729</v>
      </c>
      <c r="AC129" s="245"/>
      <c r="AD129" s="256">
        <v>300</v>
      </c>
      <c r="AE129">
        <v>37390</v>
      </c>
      <c r="AF129" s="245">
        <f t="shared" si="7"/>
        <v>2.248478864058135</v>
      </c>
      <c r="AG129" s="245"/>
      <c r="AH129" s="256">
        <f t="shared" si="11"/>
        <v>290</v>
      </c>
      <c r="AI129" s="255">
        <v>46690</v>
      </c>
      <c r="AJ129" s="245">
        <f t="shared" si="8"/>
        <v>2.807742127918542</v>
      </c>
      <c r="AK129" s="245"/>
      <c r="AL129" s="260">
        <v>137.05</v>
      </c>
      <c r="AM129" s="259">
        <v>11.338</v>
      </c>
      <c r="AN129" s="259">
        <f t="shared" si="15"/>
        <v>47.438192</v>
      </c>
      <c r="AO129" s="245">
        <f t="shared" si="21"/>
        <v>2.8527352784469557</v>
      </c>
      <c r="AQ129" s="260">
        <v>152.63</v>
      </c>
      <c r="AR129" s="259">
        <v>12.057</v>
      </c>
      <c r="AS129" s="259">
        <f t="shared" si="16"/>
        <v>50.446488</v>
      </c>
      <c r="AT129" s="245">
        <f t="shared" si="22"/>
        <v>3.0336416698037527</v>
      </c>
    </row>
    <row r="130" spans="2:46" ht="12.75">
      <c r="B130" s="3" t="s">
        <v>863</v>
      </c>
      <c r="C130">
        <v>654</v>
      </c>
      <c r="D130">
        <v>689</v>
      </c>
      <c r="E130" s="267">
        <f t="shared" si="12"/>
        <v>-0.05079825834542816</v>
      </c>
      <c r="F130" s="251">
        <f t="shared" si="13"/>
        <v>-35</v>
      </c>
      <c r="G130" s="267"/>
      <c r="H130" s="267"/>
      <c r="I130" s="37"/>
      <c r="J130" s="37"/>
      <c r="P130" s="264">
        <v>20.93</v>
      </c>
      <c r="Q130" s="268">
        <v>0.3642</v>
      </c>
      <c r="R130">
        <f t="shared" si="17"/>
        <v>1.5238128000000002</v>
      </c>
      <c r="S130" s="245">
        <f t="shared" si="18"/>
        <v>0.09163575484303947</v>
      </c>
      <c r="T130" s="245"/>
      <c r="U130" s="254">
        <v>195</v>
      </c>
      <c r="V130" s="266">
        <v>49.34</v>
      </c>
      <c r="W130" s="245">
        <f t="shared" si="14"/>
        <v>1.1868408360805387</v>
      </c>
      <c r="X130" s="245"/>
      <c r="Y130" s="260">
        <v>116.72</v>
      </c>
      <c r="Z130" s="263">
        <v>7.6216</v>
      </c>
      <c r="AA130" s="259">
        <f t="shared" si="19"/>
        <v>31.888774400000003</v>
      </c>
      <c r="AB130" s="245">
        <f t="shared" si="20"/>
        <v>1.9176580700486259</v>
      </c>
      <c r="AC130" s="245"/>
      <c r="AD130" s="256">
        <v>310</v>
      </c>
      <c r="AE130">
        <v>38100</v>
      </c>
      <c r="AF130" s="245">
        <f t="shared" si="7"/>
        <v>2.291175306782961</v>
      </c>
      <c r="AG130" s="245"/>
      <c r="AH130" s="256">
        <f t="shared" si="11"/>
        <v>300</v>
      </c>
      <c r="AI130" s="255">
        <v>47500</v>
      </c>
      <c r="AJ130" s="245">
        <f t="shared" si="8"/>
        <v>2.8564521541257393</v>
      </c>
      <c r="AK130" s="245"/>
      <c r="AL130" s="260">
        <v>146.38</v>
      </c>
      <c r="AM130" s="259">
        <v>11.469</v>
      </c>
      <c r="AN130" s="259">
        <f t="shared" si="15"/>
        <v>47.986296</v>
      </c>
      <c r="AO130" s="245">
        <f t="shared" si="21"/>
        <v>2.8856959700571654</v>
      </c>
      <c r="AQ130" s="260">
        <v>162.78</v>
      </c>
      <c r="AR130" s="259">
        <v>12.113</v>
      </c>
      <c r="AS130" s="259">
        <f t="shared" si="16"/>
        <v>50.680792</v>
      </c>
      <c r="AT130" s="245">
        <f t="shared" si="22"/>
        <v>3.0477317364462846</v>
      </c>
    </row>
    <row r="131" spans="2:46" ht="12.75">
      <c r="B131" s="3" t="s">
        <v>757</v>
      </c>
      <c r="C131">
        <v>629</v>
      </c>
      <c r="D131">
        <v>660</v>
      </c>
      <c r="E131" s="267">
        <f t="shared" si="12"/>
        <v>-0.04696969696969697</v>
      </c>
      <c r="F131" s="251">
        <f t="shared" si="13"/>
        <v>-31</v>
      </c>
      <c r="G131" s="267"/>
      <c r="H131" s="267"/>
      <c r="I131" s="37"/>
      <c r="J131" s="37"/>
      <c r="P131" s="264">
        <v>22.451</v>
      </c>
      <c r="Q131" s="268">
        <v>0.4596</v>
      </c>
      <c r="R131">
        <f t="shared" si="17"/>
        <v>1.9229664000000002</v>
      </c>
      <c r="S131" s="245">
        <f t="shared" si="18"/>
        <v>0.1156391898019246</v>
      </c>
      <c r="T131" s="245"/>
      <c r="U131" s="254">
        <v>200</v>
      </c>
      <c r="V131" s="266">
        <v>51.13</v>
      </c>
      <c r="W131" s="245">
        <f t="shared" si="14"/>
        <v>1.2298980938143078</v>
      </c>
      <c r="X131" s="245"/>
      <c r="Y131" s="260">
        <v>124.12</v>
      </c>
      <c r="Z131" s="263">
        <v>8.011</v>
      </c>
      <c r="AA131" s="259">
        <f t="shared" si="19"/>
        <v>33.518024</v>
      </c>
      <c r="AB131" s="245">
        <f t="shared" si="20"/>
        <v>2.0156343548808047</v>
      </c>
      <c r="AC131" s="245"/>
      <c r="AD131" s="256">
        <v>320</v>
      </c>
      <c r="AE131">
        <v>38770</v>
      </c>
      <c r="AF131" s="245">
        <f t="shared" si="7"/>
        <v>2.33146631611484</v>
      </c>
      <c r="AG131" s="245"/>
      <c r="AI131" s="253"/>
      <c r="AJ131" s="245"/>
      <c r="AK131" s="245"/>
      <c r="AL131" s="260">
        <v>150.96</v>
      </c>
      <c r="AM131" s="259">
        <v>11.525</v>
      </c>
      <c r="AN131" s="259">
        <f t="shared" si="15"/>
        <v>48.220600000000005</v>
      </c>
      <c r="AO131" s="245">
        <f t="shared" si="21"/>
        <v>2.8997860366996973</v>
      </c>
      <c r="AQ131" s="260">
        <v>172.45</v>
      </c>
      <c r="AR131" s="259">
        <v>12.165</v>
      </c>
      <c r="AS131" s="259">
        <f t="shared" si="16"/>
        <v>50.89836</v>
      </c>
      <c r="AT131" s="245">
        <f t="shared" si="22"/>
        <v>3.0608153697572074</v>
      </c>
    </row>
    <row r="132" spans="2:46" ht="12.75">
      <c r="B132" s="3" t="s">
        <v>758</v>
      </c>
      <c r="C132">
        <v>592</v>
      </c>
      <c r="D132">
        <v>630</v>
      </c>
      <c r="E132" s="267">
        <f t="shared" si="12"/>
        <v>-0.06031746031746032</v>
      </c>
      <c r="F132" s="251">
        <f t="shared" si="13"/>
        <v>-38</v>
      </c>
      <c r="G132" s="267"/>
      <c r="H132" s="267"/>
      <c r="I132" s="37"/>
      <c r="J132" s="37"/>
      <c r="P132" s="264">
        <v>23.754</v>
      </c>
      <c r="Q132" s="268">
        <v>0.5508</v>
      </c>
      <c r="R132">
        <f t="shared" si="17"/>
        <v>2.3045472</v>
      </c>
      <c r="S132" s="245">
        <f t="shared" si="18"/>
        <v>0.1385858697626198</v>
      </c>
      <c r="T132" s="245"/>
      <c r="U132" s="254">
        <v>205</v>
      </c>
      <c r="V132" s="266">
        <v>52.89</v>
      </c>
      <c r="W132" s="245">
        <f t="shared" si="14"/>
        <v>1.2722337215301924</v>
      </c>
      <c r="X132" s="245"/>
      <c r="Y132" s="260">
        <v>131.52</v>
      </c>
      <c r="Z132" s="263">
        <v>8.3291</v>
      </c>
      <c r="AA132" s="259">
        <f t="shared" si="19"/>
        <v>34.848954400000004</v>
      </c>
      <c r="AB132" s="245">
        <f t="shared" si="20"/>
        <v>2.0956709655770456</v>
      </c>
      <c r="AC132" s="245"/>
      <c r="AD132" s="253"/>
      <c r="AI132" s="251"/>
      <c r="AJ132" s="245"/>
      <c r="AL132" s="260">
        <v>159.21</v>
      </c>
      <c r="AM132" s="259">
        <v>11.622</v>
      </c>
      <c r="AN132" s="259">
        <f t="shared" si="15"/>
        <v>48.626448</v>
      </c>
      <c r="AO132" s="245">
        <f t="shared" si="21"/>
        <v>2.9241920449912264</v>
      </c>
      <c r="AQ132" s="260">
        <v>181.69</v>
      </c>
      <c r="AR132" s="259">
        <v>12.205</v>
      </c>
      <c r="AS132" s="259">
        <f t="shared" si="16"/>
        <v>51.06572</v>
      </c>
      <c r="AT132" s="245">
        <f t="shared" si="22"/>
        <v>3.070879703073302</v>
      </c>
    </row>
    <row r="133" spans="2:46" ht="12.75">
      <c r="B133" s="3" t="s">
        <v>835</v>
      </c>
      <c r="C133">
        <v>716</v>
      </c>
      <c r="D133">
        <v>740</v>
      </c>
      <c r="E133" s="267">
        <f t="shared" si="12"/>
        <v>-0.032432432432432434</v>
      </c>
      <c r="F133" s="251">
        <f t="shared" si="13"/>
        <v>-24</v>
      </c>
      <c r="G133" s="267"/>
      <c r="H133" s="267"/>
      <c r="I133" s="37"/>
      <c r="J133" s="37"/>
      <c r="P133" s="264">
        <v>24.399</v>
      </c>
      <c r="Q133" s="268">
        <v>0.5983</v>
      </c>
      <c r="R133">
        <f t="shared" si="17"/>
        <v>2.5032872000000004</v>
      </c>
      <c r="S133" s="245">
        <f t="shared" si="18"/>
        <v>0.15053726557548192</v>
      </c>
      <c r="T133" s="245"/>
      <c r="U133" s="254">
        <v>210</v>
      </c>
      <c r="V133" s="266">
        <v>54.61</v>
      </c>
      <c r="W133" s="245">
        <f t="shared" si="14"/>
        <v>1.3136071758888979</v>
      </c>
      <c r="X133" s="245"/>
      <c r="Y133" s="260">
        <v>138.83</v>
      </c>
      <c r="Z133" s="263">
        <v>8.6401</v>
      </c>
      <c r="AA133" s="259">
        <f t="shared" si="19"/>
        <v>36.1501784</v>
      </c>
      <c r="AB133" s="245">
        <f t="shared" si="20"/>
        <v>2.1739211571096795</v>
      </c>
      <c r="AC133" s="245"/>
      <c r="AD133" s="253"/>
      <c r="AL133" s="260">
        <v>168.07</v>
      </c>
      <c r="AM133" s="259">
        <v>11.716</v>
      </c>
      <c r="AN133" s="259">
        <f t="shared" si="15"/>
        <v>49.019743999999996</v>
      </c>
      <c r="AO133" s="245">
        <f t="shared" si="21"/>
        <v>2.9478432282840474</v>
      </c>
      <c r="AQ133" s="260">
        <v>191.87</v>
      </c>
      <c r="AR133" s="259">
        <v>12.258</v>
      </c>
      <c r="AS133" s="259">
        <f t="shared" si="16"/>
        <v>51.287472</v>
      </c>
      <c r="AT133" s="245">
        <f t="shared" si="22"/>
        <v>3.084214944717127</v>
      </c>
    </row>
    <row r="134" spans="2:46" ht="12.75">
      <c r="B134" s="3" t="s">
        <v>952</v>
      </c>
      <c r="C134">
        <v>621</v>
      </c>
      <c r="D134">
        <v>659</v>
      </c>
      <c r="E134" s="267">
        <f t="shared" si="12"/>
        <v>-0.057663125948406675</v>
      </c>
      <c r="F134" s="251">
        <f t="shared" si="13"/>
        <v>-38</v>
      </c>
      <c r="G134" s="267"/>
      <c r="H134" s="267"/>
      <c r="I134" s="37"/>
      <c r="J134" s="37"/>
      <c r="P134" s="264">
        <v>26.522</v>
      </c>
      <c r="Q134" s="268">
        <v>0.7727</v>
      </c>
      <c r="R134">
        <f t="shared" si="17"/>
        <v>3.2329768000000003</v>
      </c>
      <c r="S134" s="245">
        <f t="shared" si="18"/>
        <v>0.19441775883365348</v>
      </c>
      <c r="T134" s="245"/>
      <c r="U134" s="254">
        <v>215</v>
      </c>
      <c r="V134" s="266">
        <v>56.29</v>
      </c>
      <c r="W134" s="245">
        <f t="shared" si="14"/>
        <v>1.354018456890424</v>
      </c>
      <c r="X134" s="245"/>
      <c r="Y134" s="260">
        <v>146.06</v>
      </c>
      <c r="Z134" s="263">
        <v>8.9202</v>
      </c>
      <c r="AA134" s="259">
        <f t="shared" si="19"/>
        <v>37.322116799999996</v>
      </c>
      <c r="AB134" s="245">
        <f t="shared" si="20"/>
        <v>2.24439665115563</v>
      </c>
      <c r="AC134" s="245"/>
      <c r="AD134" s="253"/>
      <c r="AL134" s="260">
        <v>176.79</v>
      </c>
      <c r="AM134" s="259">
        <v>11.8</v>
      </c>
      <c r="AN134" s="259">
        <f t="shared" si="15"/>
        <v>49.3712</v>
      </c>
      <c r="AO134" s="245">
        <f t="shared" si="21"/>
        <v>2.968978328247846</v>
      </c>
      <c r="AQ134" s="260">
        <v>201.94</v>
      </c>
      <c r="AR134" s="259">
        <v>12.306</v>
      </c>
      <c r="AS134" s="259">
        <f t="shared" si="16"/>
        <v>51.488304</v>
      </c>
      <c r="AT134" s="245">
        <f t="shared" si="22"/>
        <v>3.09629214469644</v>
      </c>
    </row>
    <row r="135" spans="2:46" ht="12.75">
      <c r="B135" s="3" t="s">
        <v>748</v>
      </c>
      <c r="C135">
        <v>600</v>
      </c>
      <c r="D135">
        <v>631</v>
      </c>
      <c r="E135" s="267">
        <f t="shared" si="12"/>
        <v>-0.0491283676703645</v>
      </c>
      <c r="F135" s="251">
        <f t="shared" si="13"/>
        <v>-31</v>
      </c>
      <c r="G135" s="267"/>
      <c r="H135" s="267"/>
      <c r="I135" s="37"/>
      <c r="J135" s="37"/>
      <c r="P135" s="264">
        <v>26.861</v>
      </c>
      <c r="Q135" s="268">
        <v>0.8048</v>
      </c>
      <c r="R135">
        <f t="shared" si="17"/>
        <v>3.3672832</v>
      </c>
      <c r="S135" s="245">
        <f t="shared" si="18"/>
        <v>0.2024943863198192</v>
      </c>
      <c r="T135" s="245"/>
      <c r="U135" s="254">
        <v>220</v>
      </c>
      <c r="V135" s="266">
        <v>57.94</v>
      </c>
      <c r="W135" s="245">
        <f t="shared" si="14"/>
        <v>1.3937081078740658</v>
      </c>
      <c r="X135" s="245"/>
      <c r="Y135" s="260">
        <v>153.34</v>
      </c>
      <c r="Z135" s="263">
        <v>9.163</v>
      </c>
      <c r="AA135" s="259">
        <f t="shared" si="19"/>
        <v>38.337992</v>
      </c>
      <c r="AB135" s="245">
        <f t="shared" si="20"/>
        <v>2.3054871543843234</v>
      </c>
      <c r="AC135" s="245"/>
      <c r="AD135" s="253"/>
      <c r="AL135" s="260">
        <v>185.38</v>
      </c>
      <c r="AM135" s="259">
        <v>11.872</v>
      </c>
      <c r="AN135" s="259">
        <f t="shared" si="15"/>
        <v>49.672448</v>
      </c>
      <c r="AO135" s="245">
        <f t="shared" si="21"/>
        <v>2.987094128216816</v>
      </c>
      <c r="AQ135" s="260">
        <v>207.13</v>
      </c>
      <c r="AR135" s="259">
        <v>12.326</v>
      </c>
      <c r="AS135" s="259">
        <f t="shared" si="16"/>
        <v>51.57198400000001</v>
      </c>
      <c r="AT135" s="245">
        <f t="shared" si="22"/>
        <v>3.101324311354488</v>
      </c>
    </row>
    <row r="136" spans="2:46" ht="12.75">
      <c r="B136" s="3" t="s">
        <v>744</v>
      </c>
      <c r="C136">
        <v>567</v>
      </c>
      <c r="D136">
        <v>604</v>
      </c>
      <c r="E136" s="267">
        <f t="shared" si="12"/>
        <v>-0.061258278145695365</v>
      </c>
      <c r="F136" s="251">
        <f t="shared" si="13"/>
        <v>-37</v>
      </c>
      <c r="G136" s="267"/>
      <c r="H136" s="267"/>
      <c r="I136" s="37"/>
      <c r="J136" s="37"/>
      <c r="P136" s="264">
        <v>29.176</v>
      </c>
      <c r="Q136" s="269">
        <v>1.025</v>
      </c>
      <c r="R136">
        <f t="shared" si="17"/>
        <v>4.2886</v>
      </c>
      <c r="S136" s="245">
        <f t="shared" si="18"/>
        <v>0.25789854122491884</v>
      </c>
      <c r="T136" s="245"/>
      <c r="U136" s="254">
        <v>225</v>
      </c>
      <c r="V136" s="266">
        <v>59.55</v>
      </c>
      <c r="W136" s="245">
        <f t="shared" si="14"/>
        <v>1.4324355855005284</v>
      </c>
      <c r="X136" s="245"/>
      <c r="Y136" s="260">
        <v>160.92</v>
      </c>
      <c r="Z136" s="263">
        <v>9.4061</v>
      </c>
      <c r="AA136" s="259">
        <f t="shared" si="19"/>
        <v>39.355122400000006</v>
      </c>
      <c r="AB136" s="245">
        <f t="shared" si="20"/>
        <v>2.3666531401128874</v>
      </c>
      <c r="AC136" s="245"/>
      <c r="AD136" s="253"/>
      <c r="AL136" s="260">
        <v>193.61</v>
      </c>
      <c r="AM136" s="259">
        <v>11.934</v>
      </c>
      <c r="AN136" s="259">
        <f t="shared" si="15"/>
        <v>49.931855999999996</v>
      </c>
      <c r="AO136" s="245">
        <f t="shared" si="21"/>
        <v>3.002693844856762</v>
      </c>
      <c r="AQ136" s="260">
        <v>213.72</v>
      </c>
      <c r="AR136" s="259">
        <v>12.351</v>
      </c>
      <c r="AS136" s="259">
        <f t="shared" si="16"/>
        <v>51.676584000000005</v>
      </c>
      <c r="AT136" s="245">
        <f t="shared" si="22"/>
        <v>3.1076145196770466</v>
      </c>
    </row>
    <row r="137" spans="4:46" ht="12.75">
      <c r="D137" s="5" t="s">
        <v>819</v>
      </c>
      <c r="E137" s="270">
        <f>AVERAGE(E117:E136)</f>
        <v>-0.04750144658970823</v>
      </c>
      <c r="F137" s="271">
        <f>AVERAGE(F117:F136)</f>
        <v>-35.2</v>
      </c>
      <c r="G137" s="272" t="s">
        <v>950</v>
      </c>
      <c r="H137" s="272"/>
      <c r="I137" s="37"/>
      <c r="J137" s="37"/>
      <c r="P137" s="264">
        <v>30.076</v>
      </c>
      <c r="Q137" s="269">
        <v>1.118</v>
      </c>
      <c r="R137">
        <f t="shared" si="17"/>
        <v>4.6777120000000005</v>
      </c>
      <c r="S137" s="245">
        <f t="shared" si="18"/>
        <v>0.28129811618483835</v>
      </c>
      <c r="T137" s="245"/>
      <c r="U137" s="254">
        <v>230</v>
      </c>
      <c r="V137" s="266">
        <v>61.12</v>
      </c>
      <c r="W137" s="245">
        <f t="shared" si="14"/>
        <v>1.470200889769812</v>
      </c>
      <c r="X137" s="245"/>
      <c r="Y137" s="260">
        <v>168.45</v>
      </c>
      <c r="Z137" s="263">
        <v>9.6014</v>
      </c>
      <c r="AA137" s="259">
        <f t="shared" si="19"/>
        <v>40.1722576</v>
      </c>
      <c r="AB137" s="245">
        <f t="shared" si="20"/>
        <v>2.4157922475287177</v>
      </c>
      <c r="AC137" s="245"/>
      <c r="AD137" s="253"/>
      <c r="AL137" s="260">
        <v>202.22</v>
      </c>
      <c r="AM137" s="259">
        <v>11.986</v>
      </c>
      <c r="AN137" s="259">
        <f t="shared" si="15"/>
        <v>50.149424</v>
      </c>
      <c r="AO137" s="245">
        <f t="shared" si="21"/>
        <v>3.0157774781676854</v>
      </c>
      <c r="AQ137" s="260">
        <v>224.08</v>
      </c>
      <c r="AR137" s="259">
        <v>12.37</v>
      </c>
      <c r="AS137" s="259">
        <f t="shared" si="16"/>
        <v>51.75608</v>
      </c>
      <c r="AT137" s="245">
        <f t="shared" si="22"/>
        <v>3.112395078002191</v>
      </c>
    </row>
    <row r="138" spans="1:46" ht="12.75">
      <c r="A138" s="210" t="s">
        <v>786</v>
      </c>
      <c r="D138" s="5"/>
      <c r="G138" s="272"/>
      <c r="H138" s="272"/>
      <c r="I138" s="37"/>
      <c r="J138" s="37"/>
      <c r="P138" s="264">
        <v>31.874</v>
      </c>
      <c r="Q138" s="269">
        <v>1.309</v>
      </c>
      <c r="R138">
        <f t="shared" si="17"/>
        <v>5.476856</v>
      </c>
      <c r="S138" s="245">
        <f t="shared" si="18"/>
        <v>0.32935530776918903</v>
      </c>
      <c r="T138" s="245"/>
      <c r="U138" s="254">
        <v>235</v>
      </c>
      <c r="V138" s="266">
        <v>62.66</v>
      </c>
      <c r="W138" s="245">
        <f t="shared" si="14"/>
        <v>1.5072445640212109</v>
      </c>
      <c r="X138" s="245"/>
      <c r="Y138" s="260">
        <v>175.72</v>
      </c>
      <c r="Z138" s="263">
        <v>9.777</v>
      </c>
      <c r="AA138" s="259">
        <f t="shared" si="19"/>
        <v>40.906968</v>
      </c>
      <c r="AB138" s="245">
        <f t="shared" si="20"/>
        <v>2.459974670786372</v>
      </c>
      <c r="AC138" s="245"/>
      <c r="AD138" s="253"/>
      <c r="AL138" s="260">
        <v>209.43</v>
      </c>
      <c r="AM138" s="259">
        <v>12.033</v>
      </c>
      <c r="AN138" s="259">
        <f t="shared" si="15"/>
        <v>50.346072</v>
      </c>
      <c r="AO138" s="245">
        <f t="shared" si="21"/>
        <v>3.027603069814096</v>
      </c>
      <c r="AQ138" s="260">
        <v>230.28</v>
      </c>
      <c r="AR138" s="259">
        <v>12.393</v>
      </c>
      <c r="AS138" s="259">
        <f t="shared" si="16"/>
        <v>51.852312000000005</v>
      </c>
      <c r="AT138" s="245">
        <f t="shared" si="22"/>
        <v>3.1181820696589457</v>
      </c>
    </row>
    <row r="139" spans="1:46" ht="12.75" customHeight="1">
      <c r="A139" s="210"/>
      <c r="B139" s="340" t="s">
        <v>7</v>
      </c>
      <c r="C139" s="340"/>
      <c r="D139" s="340"/>
      <c r="E139" s="340"/>
      <c r="F139" s="340"/>
      <c r="G139" s="340"/>
      <c r="H139" s="340"/>
      <c r="I139" s="340"/>
      <c r="J139" s="340"/>
      <c r="P139" s="264">
        <v>33.237</v>
      </c>
      <c r="Q139" s="269">
        <v>1.466</v>
      </c>
      <c r="R139">
        <f t="shared" si="17"/>
        <v>6.133744</v>
      </c>
      <c r="S139" s="245">
        <f t="shared" si="18"/>
        <v>0.3688578160348595</v>
      </c>
      <c r="T139" s="245"/>
      <c r="U139" s="254">
        <v>240</v>
      </c>
      <c r="V139" s="266">
        <v>64.16</v>
      </c>
      <c r="W139" s="245">
        <f t="shared" si="14"/>
        <v>1.5433260649154308</v>
      </c>
      <c r="X139" s="245"/>
      <c r="Y139" s="260">
        <v>182.99</v>
      </c>
      <c r="Z139" s="263">
        <v>9.9583</v>
      </c>
      <c r="AA139" s="259">
        <f t="shared" si="19"/>
        <v>41.6655272</v>
      </c>
      <c r="AB139" s="245">
        <f t="shared" si="20"/>
        <v>2.50559126154157</v>
      </c>
      <c r="AC139" s="245"/>
      <c r="AD139" s="253"/>
      <c r="AL139" s="260">
        <v>217.04</v>
      </c>
      <c r="AM139" s="259">
        <v>12.085</v>
      </c>
      <c r="AN139" s="259">
        <f t="shared" si="15"/>
        <v>50.56364000000001</v>
      </c>
      <c r="AO139" s="245">
        <f t="shared" si="21"/>
        <v>3.040686703125019</v>
      </c>
      <c r="AQ139" s="260">
        <v>239.24</v>
      </c>
      <c r="AR139" s="259">
        <v>12.424</v>
      </c>
      <c r="AS139" s="259">
        <f t="shared" si="16"/>
        <v>51.982016</v>
      </c>
      <c r="AT139" s="245">
        <f t="shared" si="22"/>
        <v>3.125981927978919</v>
      </c>
    </row>
    <row r="140" spans="1:46" ht="12.75">
      <c r="A140" s="210"/>
      <c r="B140" s="340"/>
      <c r="C140" s="340"/>
      <c r="D140" s="340"/>
      <c r="E140" s="340"/>
      <c r="F140" s="340"/>
      <c r="G140" s="340"/>
      <c r="H140" s="340"/>
      <c r="I140" s="340"/>
      <c r="J140" s="340"/>
      <c r="P140" s="264">
        <v>34.667</v>
      </c>
      <c r="Q140" s="269">
        <v>1.635</v>
      </c>
      <c r="R140">
        <f t="shared" si="17"/>
        <v>6.84084</v>
      </c>
      <c r="S140" s="245">
        <f t="shared" si="18"/>
        <v>0.41137962429535835</v>
      </c>
      <c r="T140" s="245"/>
      <c r="U140" s="254">
        <v>245</v>
      </c>
      <c r="V140" s="266">
        <v>65.63</v>
      </c>
      <c r="W140" s="245">
        <f t="shared" si="14"/>
        <v>1.5786859357917664</v>
      </c>
      <c r="X140" s="245"/>
      <c r="Y140" s="260">
        <v>190.21</v>
      </c>
      <c r="Z140" s="244">
        <v>10.106</v>
      </c>
      <c r="AA140" s="259">
        <f t="shared" si="19"/>
        <v>42.283504</v>
      </c>
      <c r="AB140" s="245">
        <f t="shared" si="20"/>
        <v>2.5427538123112488</v>
      </c>
      <c r="AC140" s="245"/>
      <c r="AD140" s="253"/>
      <c r="AL140" s="260">
        <v>224.81</v>
      </c>
      <c r="AM140" s="259">
        <v>12.115</v>
      </c>
      <c r="AN140" s="259">
        <f t="shared" si="15"/>
        <v>50.68916</v>
      </c>
      <c r="AO140" s="245">
        <f t="shared" si="21"/>
        <v>3.0482349531120896</v>
      </c>
      <c r="AQ140" s="260">
        <v>250.06</v>
      </c>
      <c r="AR140" s="259">
        <v>12.456</v>
      </c>
      <c r="AS140" s="259">
        <f t="shared" si="16"/>
        <v>52.115904</v>
      </c>
      <c r="AT140" s="245">
        <f t="shared" si="22"/>
        <v>3.1340333946317944</v>
      </c>
    </row>
    <row r="141" spans="1:46" ht="12.75">
      <c r="A141" s="210"/>
      <c r="B141" s="340"/>
      <c r="C141" s="340"/>
      <c r="D141" s="340"/>
      <c r="E141" s="340"/>
      <c r="F141" s="340"/>
      <c r="G141" s="340"/>
      <c r="H141" s="340"/>
      <c r="I141" s="340"/>
      <c r="J141" s="340"/>
      <c r="P141" s="264">
        <v>36.292</v>
      </c>
      <c r="Q141" s="269">
        <v>1.834</v>
      </c>
      <c r="R141">
        <f t="shared" si="17"/>
        <v>7.673456000000001</v>
      </c>
      <c r="S141" s="245">
        <f t="shared" si="18"/>
        <v>0.461449682542928</v>
      </c>
      <c r="T141" s="245"/>
      <c r="U141" s="254">
        <v>250</v>
      </c>
      <c r="V141" s="266">
        <v>67.05</v>
      </c>
      <c r="W141" s="245">
        <f t="shared" si="14"/>
        <v>1.6128430899716277</v>
      </c>
      <c r="X141" s="245"/>
      <c r="Y141" s="260">
        <v>197.56</v>
      </c>
      <c r="Z141" s="244">
        <v>10.264</v>
      </c>
      <c r="AA141" s="259">
        <f t="shared" si="19"/>
        <v>42.944576</v>
      </c>
      <c r="AB141" s="245">
        <f t="shared" si="20"/>
        <v>2.582507928909821</v>
      </c>
      <c r="AC141" s="245"/>
      <c r="AD141" s="253"/>
      <c r="AL141" s="260">
        <v>230.22</v>
      </c>
      <c r="AM141" s="259">
        <v>12.145</v>
      </c>
      <c r="AN141" s="259">
        <f t="shared" si="15"/>
        <v>50.81468</v>
      </c>
      <c r="AO141" s="245">
        <f t="shared" si="21"/>
        <v>3.0557832030991605</v>
      </c>
      <c r="AQ141" s="260">
        <v>259.14</v>
      </c>
      <c r="AR141" s="259">
        <v>12.494</v>
      </c>
      <c r="AS141" s="259">
        <f t="shared" si="16"/>
        <v>52.274896</v>
      </c>
      <c r="AT141" s="245">
        <f t="shared" si="22"/>
        <v>3.1435945112820836</v>
      </c>
    </row>
    <row r="142" spans="1:46" ht="12.75">
      <c r="A142" s="210"/>
      <c r="B142" s="340"/>
      <c r="C142" s="340"/>
      <c r="D142" s="340"/>
      <c r="E142" s="340"/>
      <c r="F142" s="340"/>
      <c r="G142" s="340"/>
      <c r="H142" s="340"/>
      <c r="I142" s="340"/>
      <c r="J142" s="340"/>
      <c r="P142" s="264">
        <v>39.674</v>
      </c>
      <c r="Q142" s="269">
        <v>2.263</v>
      </c>
      <c r="R142">
        <f t="shared" si="17"/>
        <v>9.468392</v>
      </c>
      <c r="S142" s="245">
        <f t="shared" si="18"/>
        <v>0.5693896573580403</v>
      </c>
      <c r="T142" s="245"/>
      <c r="U142" s="254">
        <v>255</v>
      </c>
      <c r="V142" s="266">
        <v>68.45</v>
      </c>
      <c r="W142" s="245">
        <f t="shared" si="14"/>
        <v>1.6465191574728997</v>
      </c>
      <c r="X142" s="245"/>
      <c r="Y142" s="260">
        <v>204.91</v>
      </c>
      <c r="Z142" s="244">
        <v>10.404</v>
      </c>
      <c r="AA142" s="259">
        <f t="shared" si="19"/>
        <v>43.530336</v>
      </c>
      <c r="AB142" s="245">
        <f t="shared" si="20"/>
        <v>2.6177330955161517</v>
      </c>
      <c r="AC142" s="245"/>
      <c r="AD142" s="253"/>
      <c r="AL142" s="260">
        <v>240.63</v>
      </c>
      <c r="AM142" s="259">
        <v>12.214</v>
      </c>
      <c r="AN142" s="259">
        <f t="shared" si="15"/>
        <v>51.103376000000004</v>
      </c>
      <c r="AO142" s="245">
        <f t="shared" si="21"/>
        <v>3.0731441780694233</v>
      </c>
      <c r="AQ142" s="260">
        <v>269.17</v>
      </c>
      <c r="AR142" s="259">
        <v>12.521</v>
      </c>
      <c r="AS142" s="259">
        <f t="shared" si="16"/>
        <v>52.38786400000001</v>
      </c>
      <c r="AT142" s="245">
        <f t="shared" si="22"/>
        <v>3.150387936270448</v>
      </c>
    </row>
    <row r="143" spans="16:46" ht="12.75">
      <c r="P143" s="264">
        <v>43.397</v>
      </c>
      <c r="Q143" s="269">
        <v>2.751</v>
      </c>
      <c r="R143">
        <f t="shared" si="17"/>
        <v>11.510184</v>
      </c>
      <c r="S143" s="245">
        <f t="shared" si="18"/>
        <v>0.6921745238143919</v>
      </c>
      <c r="T143" s="245"/>
      <c r="U143" s="254">
        <v>260</v>
      </c>
      <c r="V143" s="266">
        <v>69.8</v>
      </c>
      <c r="W143" s="245">
        <f t="shared" si="14"/>
        <v>1.6789925082776975</v>
      </c>
      <c r="X143" s="245"/>
      <c r="Y143" s="260">
        <v>212.6</v>
      </c>
      <c r="Z143" s="244">
        <v>10.531</v>
      </c>
      <c r="AA143" s="259">
        <f t="shared" si="19"/>
        <v>44.061704000000006</v>
      </c>
      <c r="AB143" s="245">
        <f t="shared" si="20"/>
        <v>2.649687353794752</v>
      </c>
      <c r="AC143" s="245"/>
      <c r="AD143" s="253"/>
      <c r="AL143" s="260">
        <v>250.42</v>
      </c>
      <c r="AM143" s="259">
        <v>12.266</v>
      </c>
      <c r="AN143" s="259">
        <f t="shared" si="15"/>
        <v>51.320944000000004</v>
      </c>
      <c r="AO143" s="245">
        <f t="shared" si="21"/>
        <v>3.086227811380346</v>
      </c>
      <c r="AQ143" s="260">
        <v>278.63</v>
      </c>
      <c r="AR143" s="259">
        <v>12.544</v>
      </c>
      <c r="AS143" s="259">
        <f t="shared" si="16"/>
        <v>52.484096</v>
      </c>
      <c r="AT143" s="245">
        <f t="shared" si="22"/>
        <v>3.156174927927202</v>
      </c>
    </row>
    <row r="144" spans="1:46" ht="12.75" customHeight="1">
      <c r="A144" s="210"/>
      <c r="B144" s="340" t="s">
        <v>1055</v>
      </c>
      <c r="C144" s="340"/>
      <c r="D144" s="340"/>
      <c r="E144" s="340"/>
      <c r="F144" s="340"/>
      <c r="G144" s="340"/>
      <c r="H144" s="340"/>
      <c r="I144" s="340"/>
      <c r="J144" s="340"/>
      <c r="K144" s="37"/>
      <c r="P144" s="264">
        <v>46.86</v>
      </c>
      <c r="Q144" s="269">
        <v>3.208</v>
      </c>
      <c r="R144">
        <f t="shared" si="17"/>
        <v>13.422272000000001</v>
      </c>
      <c r="S144" s="245">
        <f t="shared" si="18"/>
        <v>0.8071595319507705</v>
      </c>
      <c r="T144" s="245"/>
      <c r="U144" s="254">
        <v>265</v>
      </c>
      <c r="V144" s="266">
        <v>71.12</v>
      </c>
      <c r="W144" s="245">
        <f t="shared" si="14"/>
        <v>1.7107442290646113</v>
      </c>
      <c r="X144" s="245"/>
      <c r="Y144" s="260">
        <v>219.84</v>
      </c>
      <c r="Z144" s="244">
        <v>10.65</v>
      </c>
      <c r="AA144" s="259">
        <f t="shared" si="19"/>
        <v>44.5596</v>
      </c>
      <c r="AB144" s="245">
        <f t="shared" si="20"/>
        <v>2.6796287454101324</v>
      </c>
      <c r="AC144" s="245"/>
      <c r="AD144" s="253"/>
      <c r="AL144" s="260">
        <v>259.26</v>
      </c>
      <c r="AM144" s="259">
        <v>12.321</v>
      </c>
      <c r="AN144" s="259">
        <f t="shared" si="15"/>
        <v>51.551064000000004</v>
      </c>
      <c r="AO144" s="245">
        <f t="shared" si="21"/>
        <v>3.1000662696899757</v>
      </c>
      <c r="AQ144" s="260">
        <v>288.16</v>
      </c>
      <c r="AR144" s="259">
        <v>12.602</v>
      </c>
      <c r="AS144" s="259">
        <f t="shared" si="16"/>
        <v>52.726768</v>
      </c>
      <c r="AT144" s="245">
        <f t="shared" si="22"/>
        <v>3.1707682112355386</v>
      </c>
    </row>
    <row r="145" spans="1:46" ht="12.75">
      <c r="A145" s="210"/>
      <c r="B145" s="340"/>
      <c r="C145" s="340"/>
      <c r="D145" s="340"/>
      <c r="E145" s="340"/>
      <c r="F145" s="340"/>
      <c r="G145" s="340"/>
      <c r="H145" s="340"/>
      <c r="I145" s="340"/>
      <c r="J145" s="340"/>
      <c r="K145" s="37"/>
      <c r="P145" s="264">
        <v>50.09</v>
      </c>
      <c r="Q145" s="269">
        <v>3.64</v>
      </c>
      <c r="R145">
        <f t="shared" si="17"/>
        <v>15.22976</v>
      </c>
      <c r="S145" s="245">
        <f t="shared" si="18"/>
        <v>0.9158543317645899</v>
      </c>
      <c r="T145" s="245"/>
      <c r="U145" s="254">
        <v>270</v>
      </c>
      <c r="V145" s="266">
        <v>72.41</v>
      </c>
      <c r="W145" s="245">
        <f t="shared" si="14"/>
        <v>1.74177431983364</v>
      </c>
      <c r="X145" s="245"/>
      <c r="Y145" s="260">
        <v>227.52</v>
      </c>
      <c r="Z145" s="244">
        <v>10.769</v>
      </c>
      <c r="AA145" s="259">
        <f t="shared" si="19"/>
        <v>45.057496</v>
      </c>
      <c r="AB145" s="245">
        <f t="shared" si="20"/>
        <v>2.709570137025513</v>
      </c>
      <c r="AC145" s="245"/>
      <c r="AD145" s="253"/>
      <c r="AL145" s="260">
        <v>269.44</v>
      </c>
      <c r="AM145" s="259">
        <v>12.385</v>
      </c>
      <c r="AN145" s="259">
        <f t="shared" si="15"/>
        <v>51.81884</v>
      </c>
      <c r="AO145" s="245">
        <f t="shared" si="21"/>
        <v>3.1161692029957266</v>
      </c>
      <c r="AQ145" s="260">
        <v>298.39</v>
      </c>
      <c r="AR145" s="259">
        <v>12.625</v>
      </c>
      <c r="AS145" s="259">
        <f t="shared" si="16"/>
        <v>52.823</v>
      </c>
      <c r="AT145" s="245">
        <f t="shared" si="22"/>
        <v>3.176555202892293</v>
      </c>
    </row>
    <row r="146" spans="1:41" ht="12.75">
      <c r="A146" s="210"/>
      <c r="B146" s="340"/>
      <c r="C146" s="340"/>
      <c r="D146" s="340"/>
      <c r="E146" s="340"/>
      <c r="F146" s="340"/>
      <c r="G146" s="340"/>
      <c r="H146" s="340"/>
      <c r="I146" s="340"/>
      <c r="J146" s="340"/>
      <c r="K146" s="37"/>
      <c r="P146" s="264">
        <v>52.367</v>
      </c>
      <c r="Q146" s="269">
        <v>3.938</v>
      </c>
      <c r="R146">
        <f t="shared" si="17"/>
        <v>16.476592</v>
      </c>
      <c r="S146" s="245">
        <f t="shared" si="18"/>
        <v>0.9908336149694931</v>
      </c>
      <c r="T146" s="245"/>
      <c r="U146" s="256">
        <v>273.15</v>
      </c>
      <c r="V146" s="266">
        <v>73.2</v>
      </c>
      <c r="W146" s="245">
        <f t="shared" si="14"/>
        <v>1.7607772436379292</v>
      </c>
      <c r="X146" s="245"/>
      <c r="Y146" s="260">
        <v>235.07</v>
      </c>
      <c r="Z146" s="244">
        <v>10.865</v>
      </c>
      <c r="AA146" s="259">
        <f t="shared" si="19"/>
        <v>45.459160000000004</v>
      </c>
      <c r="AB146" s="245">
        <f t="shared" si="20"/>
        <v>2.73372453698414</v>
      </c>
      <c r="AC146" s="245"/>
      <c r="AD146" s="253"/>
      <c r="AL146" s="260">
        <v>279.54</v>
      </c>
      <c r="AM146" s="259">
        <v>12.449</v>
      </c>
      <c r="AN146" s="259">
        <f t="shared" si="15"/>
        <v>52.086616</v>
      </c>
      <c r="AO146" s="245">
        <f t="shared" si="21"/>
        <v>3.1322721363014776</v>
      </c>
    </row>
    <row r="147" spans="2:41" ht="12.75" customHeight="1">
      <c r="B147" s="340" t="s">
        <v>1019</v>
      </c>
      <c r="C147" s="340"/>
      <c r="D147" s="340"/>
      <c r="E147" s="340"/>
      <c r="F147" s="340"/>
      <c r="G147" s="340"/>
      <c r="H147" s="340"/>
      <c r="I147" s="340"/>
      <c r="J147" s="340"/>
      <c r="K147" s="340"/>
      <c r="M147" s="48" t="s">
        <v>766</v>
      </c>
      <c r="P147" s="264">
        <v>55.588</v>
      </c>
      <c r="Q147" s="269">
        <v>4.338</v>
      </c>
      <c r="R147">
        <f t="shared" si="17"/>
        <v>18.150192</v>
      </c>
      <c r="S147" s="245">
        <f t="shared" si="18"/>
        <v>1.091476948130437</v>
      </c>
      <c r="T147" s="245"/>
      <c r="U147" s="256">
        <v>275</v>
      </c>
      <c r="V147" s="266">
        <v>73.65</v>
      </c>
      <c r="W147" s="245">
        <f t="shared" si="14"/>
        <v>1.7716016939061956</v>
      </c>
      <c r="X147" s="245"/>
      <c r="Y147" s="260">
        <v>242.55</v>
      </c>
      <c r="Z147" s="244">
        <v>10.939</v>
      </c>
      <c r="AA147" s="259">
        <f t="shared" si="19"/>
        <v>45.768776</v>
      </c>
      <c r="AB147" s="245">
        <f t="shared" si="20"/>
        <v>2.7523435536189145</v>
      </c>
      <c r="AC147" s="245"/>
      <c r="AD147" s="253"/>
      <c r="AL147" s="260">
        <v>285.39</v>
      </c>
      <c r="AM147" s="259">
        <v>12.484</v>
      </c>
      <c r="AN147" s="259">
        <f t="shared" si="15"/>
        <v>52.233056000000005</v>
      </c>
      <c r="AO147" s="245">
        <f t="shared" si="21"/>
        <v>3.1410784279530604</v>
      </c>
    </row>
    <row r="148" spans="2:41" ht="12.75">
      <c r="B148" s="340"/>
      <c r="C148" s="340"/>
      <c r="D148" s="340"/>
      <c r="E148" s="340"/>
      <c r="F148" s="340"/>
      <c r="G148" s="340"/>
      <c r="H148" s="340"/>
      <c r="I148" s="340"/>
      <c r="J148" s="340"/>
      <c r="K148" s="340"/>
      <c r="P148" s="264">
        <v>58.746</v>
      </c>
      <c r="Q148" s="269">
        <v>4.733</v>
      </c>
      <c r="R148">
        <f t="shared" si="17"/>
        <v>19.802872</v>
      </c>
      <c r="S148" s="245">
        <f t="shared" si="18"/>
        <v>1.190862239626869</v>
      </c>
      <c r="T148" s="245"/>
      <c r="U148" s="256">
        <v>280</v>
      </c>
      <c r="V148" s="266">
        <v>74.87</v>
      </c>
      <c r="W148" s="245">
        <f t="shared" si="14"/>
        <v>1.8009479813001608</v>
      </c>
      <c r="X148" s="245"/>
      <c r="Y148" s="260">
        <v>246.9</v>
      </c>
      <c r="Z148" s="244">
        <v>10.996</v>
      </c>
      <c r="AA148" s="259">
        <f t="shared" si="19"/>
        <v>46.007264000000006</v>
      </c>
      <c r="AB148" s="245">
        <f t="shared" si="20"/>
        <v>2.766685228594349</v>
      </c>
      <c r="AC148" s="245"/>
      <c r="AD148" s="253"/>
      <c r="AL148" s="260">
        <v>293.64</v>
      </c>
      <c r="AM148" s="259">
        <v>12.513</v>
      </c>
      <c r="AN148" s="259">
        <f t="shared" si="15"/>
        <v>52.354392000000004</v>
      </c>
      <c r="AO148" s="245">
        <f t="shared" si="21"/>
        <v>3.148375069607229</v>
      </c>
    </row>
    <row r="149" spans="2:41" ht="12.75">
      <c r="B149" s="340"/>
      <c r="C149" s="340"/>
      <c r="D149" s="340"/>
      <c r="E149" s="340"/>
      <c r="F149" s="340"/>
      <c r="G149" s="340"/>
      <c r="H149" s="340"/>
      <c r="I149" s="340"/>
      <c r="J149" s="340"/>
      <c r="K149" s="340"/>
      <c r="P149" s="264">
        <v>61.842</v>
      </c>
      <c r="Q149" s="269">
        <v>5.09</v>
      </c>
      <c r="R149">
        <f t="shared" si="17"/>
        <v>21.29656</v>
      </c>
      <c r="S149" s="245">
        <f t="shared" si="18"/>
        <v>1.2806864144730115</v>
      </c>
      <c r="T149" s="245"/>
      <c r="U149" s="256">
        <v>285</v>
      </c>
      <c r="V149" s="266">
        <v>76.05</v>
      </c>
      <c r="W149" s="245">
        <f t="shared" si="14"/>
        <v>1.829332095336947</v>
      </c>
      <c r="X149" s="245"/>
      <c r="Y149" s="260">
        <v>249.94</v>
      </c>
      <c r="Z149" s="244">
        <v>11.035</v>
      </c>
      <c r="AA149" s="259">
        <f t="shared" si="19"/>
        <v>46.17044</v>
      </c>
      <c r="AB149" s="245">
        <f t="shared" si="20"/>
        <v>2.776497953577541</v>
      </c>
      <c r="AC149" s="245"/>
      <c r="AD149" s="253"/>
      <c r="AL149" s="260">
        <v>299.38</v>
      </c>
      <c r="AM149" s="259">
        <v>12.545</v>
      </c>
      <c r="AN149" s="259">
        <f t="shared" si="15"/>
        <v>52.48828</v>
      </c>
      <c r="AO149" s="245">
        <f t="shared" si="21"/>
        <v>3.1564265362601045</v>
      </c>
    </row>
    <row r="150" spans="2:30" ht="12.75">
      <c r="B150" s="340"/>
      <c r="C150" s="340"/>
      <c r="D150" s="340"/>
      <c r="E150" s="340"/>
      <c r="F150" s="340"/>
      <c r="G150" s="340"/>
      <c r="H150" s="340"/>
      <c r="I150" s="340"/>
      <c r="J150" s="340"/>
      <c r="K150" s="340"/>
      <c r="P150" s="264">
        <v>64.911</v>
      </c>
      <c r="Q150" s="269">
        <v>5.45</v>
      </c>
      <c r="R150">
        <f t="shared" si="17"/>
        <v>22.8028</v>
      </c>
      <c r="S150" s="245">
        <f t="shared" si="18"/>
        <v>1.3712654143178613</v>
      </c>
      <c r="T150" s="245"/>
      <c r="U150" s="256">
        <v>290</v>
      </c>
      <c r="V150" s="266">
        <v>77.2</v>
      </c>
      <c r="W150" s="245">
        <f t="shared" si="14"/>
        <v>1.8569945793558489</v>
      </c>
      <c r="X150" s="245"/>
      <c r="Y150" s="260">
        <v>255.11</v>
      </c>
      <c r="Z150" s="244">
        <v>11.056</v>
      </c>
      <c r="AA150" s="259">
        <f t="shared" si="19"/>
        <v>46.258303999999995</v>
      </c>
      <c r="AB150" s="245">
        <f t="shared" si="20"/>
        <v>2.78178172856849</v>
      </c>
      <c r="AC150" s="245"/>
      <c r="AD150" s="253"/>
    </row>
    <row r="151" spans="2:30" ht="12.75">
      <c r="B151" s="340"/>
      <c r="C151" s="340"/>
      <c r="D151" s="340"/>
      <c r="E151" s="340"/>
      <c r="F151" s="340"/>
      <c r="G151" s="340"/>
      <c r="H151" s="340"/>
      <c r="I151" s="340"/>
      <c r="J151" s="340"/>
      <c r="K151" s="340"/>
      <c r="P151" s="264">
        <v>67.957</v>
      </c>
      <c r="Q151" s="269">
        <v>5.77</v>
      </c>
      <c r="R151">
        <f t="shared" si="17"/>
        <v>24.14168</v>
      </c>
      <c r="S151" s="245">
        <f t="shared" si="18"/>
        <v>1.4517800808466164</v>
      </c>
      <c r="T151" s="245"/>
      <c r="U151" s="256">
        <v>295</v>
      </c>
      <c r="V151" s="266">
        <v>78.32</v>
      </c>
      <c r="W151" s="245">
        <f t="shared" si="14"/>
        <v>1.883935433356866</v>
      </c>
      <c r="X151" s="245"/>
      <c r="Y151" s="260">
        <v>263.92</v>
      </c>
      <c r="Z151" s="244">
        <v>11.185</v>
      </c>
      <c r="AA151" s="259">
        <f t="shared" si="19"/>
        <v>46.79804000000001</v>
      </c>
      <c r="AB151" s="245">
        <f t="shared" si="20"/>
        <v>2.814239203512895</v>
      </c>
      <c r="AC151" s="245"/>
      <c r="AD151" s="253"/>
    </row>
    <row r="152" spans="2:30" ht="12.75">
      <c r="B152" s="210" t="s">
        <v>783</v>
      </c>
      <c r="P152" s="264">
        <v>71.009</v>
      </c>
      <c r="Q152" s="269">
        <v>6.082</v>
      </c>
      <c r="R152">
        <f t="shared" si="17"/>
        <v>25.447088</v>
      </c>
      <c r="S152" s="245">
        <f t="shared" si="18"/>
        <v>1.5302818807121525</v>
      </c>
      <c r="T152" s="245"/>
      <c r="U152" s="256">
        <v>298.15</v>
      </c>
      <c r="V152" s="266">
        <v>79.01</v>
      </c>
      <c r="W152" s="245">
        <f t="shared" si="14"/>
        <v>1.9005329237682076</v>
      </c>
      <c r="X152" s="245"/>
      <c r="Y152" s="260">
        <v>272.31</v>
      </c>
      <c r="Z152" s="244">
        <v>11.258</v>
      </c>
      <c r="AA152" s="259">
        <f t="shared" si="19"/>
        <v>47.103472</v>
      </c>
      <c r="AB152" s="245">
        <f t="shared" si="20"/>
        <v>2.832606611814767</v>
      </c>
      <c r="AC152" s="245"/>
      <c r="AD152" s="253"/>
    </row>
    <row r="153" spans="2:30" ht="15.75">
      <c r="B153" s="4" t="s">
        <v>915</v>
      </c>
      <c r="C153" t="s">
        <v>761</v>
      </c>
      <c r="D153" s="330" t="s">
        <v>759</v>
      </c>
      <c r="E153" s="346"/>
      <c r="F153" s="347" t="s">
        <v>1056</v>
      </c>
      <c r="G153" s="348"/>
      <c r="H153" s="4" t="s">
        <v>777</v>
      </c>
      <c r="K153" s="4"/>
      <c r="P153" s="264">
        <v>73.046</v>
      </c>
      <c r="Q153" s="269">
        <v>6.265</v>
      </c>
      <c r="R153">
        <f t="shared" si="17"/>
        <v>26.21276</v>
      </c>
      <c r="S153" s="245">
        <f t="shared" si="18"/>
        <v>1.5763262056332843</v>
      </c>
      <c r="T153" s="245"/>
      <c r="U153" s="256">
        <v>300</v>
      </c>
      <c r="V153" s="266">
        <v>79.41</v>
      </c>
      <c r="W153" s="245">
        <f t="shared" si="14"/>
        <v>1.9101546573399992</v>
      </c>
      <c r="X153" s="245"/>
      <c r="Y153" s="260">
        <v>280.78</v>
      </c>
      <c r="Z153" s="244">
        <v>11.35</v>
      </c>
      <c r="AA153" s="259">
        <f t="shared" si="19"/>
        <v>47.4884</v>
      </c>
      <c r="AB153" s="245">
        <f t="shared" si="20"/>
        <v>2.855754578441784</v>
      </c>
      <c r="AC153" s="245"/>
      <c r="AD153" s="253"/>
    </row>
    <row r="154" spans="2:30" ht="15.75">
      <c r="B154" s="273" t="s">
        <v>1057</v>
      </c>
      <c r="C154" s="7" t="s">
        <v>1058</v>
      </c>
      <c r="D154" s="6" t="s">
        <v>562</v>
      </c>
      <c r="E154" s="9" t="s">
        <v>563</v>
      </c>
      <c r="F154" s="274" t="s">
        <v>562</v>
      </c>
      <c r="G154" s="9" t="s">
        <v>563</v>
      </c>
      <c r="H154" s="7" t="s">
        <v>1059</v>
      </c>
      <c r="I154" s="6" t="s">
        <v>762</v>
      </c>
      <c r="J154" s="275" t="s">
        <v>760</v>
      </c>
      <c r="P154" s="264">
        <v>76.01</v>
      </c>
      <c r="Q154" s="269">
        <v>6.546</v>
      </c>
      <c r="R154">
        <f t="shared" si="17"/>
        <v>27.388464000000003</v>
      </c>
      <c r="S154" s="245">
        <f t="shared" si="18"/>
        <v>1.6470281471788477</v>
      </c>
      <c r="T154" s="245"/>
      <c r="U154" s="251">
        <v>400</v>
      </c>
      <c r="V154" s="252">
        <v>96.14</v>
      </c>
      <c r="W154" s="244">
        <f>V154/Rjmk/W$90</f>
        <v>2.3125836639801984</v>
      </c>
      <c r="X154" s="244"/>
      <c r="Y154" s="260">
        <v>290.11</v>
      </c>
      <c r="Z154" s="244">
        <v>11.4</v>
      </c>
      <c r="AA154" s="259">
        <f t="shared" si="19"/>
        <v>47.6976</v>
      </c>
      <c r="AB154" s="245">
        <f t="shared" si="20"/>
        <v>2.868334995086902</v>
      </c>
      <c r="AC154" s="245"/>
      <c r="AD154" s="253"/>
    </row>
    <row r="155" spans="1:30" ht="12.75">
      <c r="A155" s="3" t="s">
        <v>837</v>
      </c>
      <c r="B155" s="38">
        <v>4.73</v>
      </c>
      <c r="C155" s="258">
        <f aca="true" t="shared" si="23" ref="C155:C174">-B155-D117</f>
        <v>-1040.73</v>
      </c>
      <c r="D155">
        <v>76</v>
      </c>
      <c r="E155">
        <v>133</v>
      </c>
      <c r="F155" s="258">
        <f>-1/(2*(D155+$D$176))*'Lattice Energy'!$U$13*(1-1/78.5)-5/2*RT</f>
        <v>-463.42018845781047</v>
      </c>
      <c r="G155" s="258">
        <f>-1/(2*(E155+$E$176))*'Lattice Energy'!$U$13*(1-1/78.5)-5/2*RT</f>
        <v>-499.6032846177542</v>
      </c>
      <c r="H155" s="258">
        <f aca="true" t="shared" si="24" ref="H155:H174">G155+F155</f>
        <v>-963.0234730755647</v>
      </c>
      <c r="I155" s="258">
        <f aca="true" t="shared" si="25" ref="I155:I174">C155-H155</f>
        <v>-77.70652692443537</v>
      </c>
      <c r="J155" s="258">
        <f aca="true" t="shared" si="26" ref="J155:J174">(I155)^2</f>
        <v>6038.304326657998</v>
      </c>
      <c r="P155" s="264">
        <v>78.99</v>
      </c>
      <c r="Q155" s="269">
        <v>6.825</v>
      </c>
      <c r="R155">
        <f t="shared" si="17"/>
        <v>28.5558</v>
      </c>
      <c r="S155" s="245">
        <f t="shared" si="18"/>
        <v>1.717226872058606</v>
      </c>
      <c r="T155" s="245"/>
      <c r="U155" s="251">
        <v>500</v>
      </c>
      <c r="V155" s="252">
        <v>106.17</v>
      </c>
      <c r="W155" s="244">
        <f>V155/Rjmk/W$90</f>
        <v>2.553848633292882</v>
      </c>
      <c r="X155" s="244"/>
      <c r="Y155" s="260">
        <v>299.64</v>
      </c>
      <c r="Z155" s="244">
        <v>11.484</v>
      </c>
      <c r="AA155" s="259">
        <f t="shared" si="19"/>
        <v>48.049056</v>
      </c>
      <c r="AB155" s="245">
        <f t="shared" si="20"/>
        <v>2.8894700950507004</v>
      </c>
      <c r="AC155" s="245"/>
      <c r="AD155" s="253"/>
    </row>
    <row r="156" spans="1:30" ht="12.75">
      <c r="A156" s="3" t="s">
        <v>880</v>
      </c>
      <c r="B156" s="38">
        <v>-37.03</v>
      </c>
      <c r="C156" s="258">
        <f t="shared" si="23"/>
        <v>-815.97</v>
      </c>
      <c r="D156">
        <v>76</v>
      </c>
      <c r="E156">
        <v>181</v>
      </c>
      <c r="F156" s="258">
        <f>-1/(2*(D156+$D$176))*'Lattice Energy'!$U$13*(1-1/78.5)-5/2*RT</f>
        <v>-463.42018845781047</v>
      </c>
      <c r="G156" s="258">
        <f>-1/(2*(E156+$E$176))*'Lattice Energy'!$U$13*(1-1/78.5)-5/2*RT</f>
        <v>-372.9536529446408</v>
      </c>
      <c r="H156" s="258">
        <f t="shared" si="24"/>
        <v>-836.3738414024513</v>
      </c>
      <c r="I156" s="258">
        <f t="shared" si="25"/>
        <v>20.403841402451235</v>
      </c>
      <c r="J156" s="258">
        <f t="shared" si="26"/>
        <v>416.3167439763832</v>
      </c>
      <c r="P156" s="264">
        <v>79.065</v>
      </c>
      <c r="Q156" s="269">
        <v>6.822</v>
      </c>
      <c r="R156">
        <f aca="true" t="shared" si="27" ref="R156:R185">Q156*4.184</f>
        <v>28.543248000000002</v>
      </c>
      <c r="S156" s="245">
        <f aca="true" t="shared" si="28" ref="S156:S185">R156/Rjmk/$S$90</f>
        <v>1.7164720470598989</v>
      </c>
      <c r="T156" s="245"/>
      <c r="U156" s="251">
        <v>600</v>
      </c>
      <c r="V156" s="252">
        <v>112.55</v>
      </c>
      <c r="W156" s="244">
        <f>V156/Rjmk/W$90</f>
        <v>2.7073152837629637</v>
      </c>
      <c r="X156" s="244"/>
      <c r="Y156" s="260">
        <v>309.77</v>
      </c>
      <c r="Z156" s="244">
        <v>11.545</v>
      </c>
      <c r="AA156" s="259">
        <f>Z156*4.184</f>
        <v>48.30428</v>
      </c>
      <c r="AB156" s="245">
        <f>AA156/Rjmk/$AB$90</f>
        <v>2.904818203357744</v>
      </c>
      <c r="AC156" s="245"/>
      <c r="AD156" s="253"/>
    </row>
    <row r="157" spans="1:30" ht="12.75">
      <c r="A157" s="3" t="s">
        <v>838</v>
      </c>
      <c r="B157" s="38">
        <v>-48.83</v>
      </c>
      <c r="C157" s="258">
        <f t="shared" si="23"/>
        <v>-758.17</v>
      </c>
      <c r="D157">
        <v>76</v>
      </c>
      <c r="E157">
        <v>196</v>
      </c>
      <c r="F157" s="258">
        <f>-1/(2*(D157+$D$176))*'Lattice Energy'!$U$13*(1-1/78.5)-5/2*RT</f>
        <v>-463.42018845781047</v>
      </c>
      <c r="G157" s="258">
        <f>-1/(2*(E157+$E$176))*'Lattice Energy'!$U$13*(1-1/78.5)-5/2*RT</f>
        <v>-345.7192797971117</v>
      </c>
      <c r="H157" s="258">
        <f t="shared" si="24"/>
        <v>-809.1394682549221</v>
      </c>
      <c r="I157" s="258">
        <f t="shared" si="25"/>
        <v>50.96946825492216</v>
      </c>
      <c r="J157" s="258">
        <f t="shared" si="26"/>
        <v>2597.886694189518</v>
      </c>
      <c r="P157" s="264">
        <v>82.067</v>
      </c>
      <c r="Q157" s="269">
        <v>7.1</v>
      </c>
      <c r="R157">
        <f t="shared" si="27"/>
        <v>29.7064</v>
      </c>
      <c r="S157" s="245">
        <f t="shared" si="28"/>
        <v>1.7864191636067548</v>
      </c>
      <c r="T157" s="245"/>
      <c r="W157" s="244"/>
      <c r="X157" s="244"/>
      <c r="Y157" s="260">
        <v>320.42</v>
      </c>
      <c r="Z157" s="244">
        <v>11.625</v>
      </c>
      <c r="AA157" s="259">
        <f>Z157*4.184</f>
        <v>48.639</v>
      </c>
      <c r="AB157" s="245">
        <f>AA157/Rjmk/$AB$90</f>
        <v>2.9249468699899333</v>
      </c>
      <c r="AC157" s="245"/>
      <c r="AD157" s="253"/>
    </row>
    <row r="158" spans="1:30" ht="12.75">
      <c r="A158" s="3" t="s">
        <v>836</v>
      </c>
      <c r="B158" s="38">
        <v>-63.3</v>
      </c>
      <c r="C158" s="258">
        <f t="shared" si="23"/>
        <v>-693.7</v>
      </c>
      <c r="D158">
        <v>76</v>
      </c>
      <c r="E158">
        <v>220</v>
      </c>
      <c r="F158" s="258">
        <f>-1/(2*(D158+$D$176))*'Lattice Energy'!$U$13*(1-1/78.5)-5/2*RT</f>
        <v>-463.42018845781047</v>
      </c>
      <c r="G158" s="258">
        <f>-1/(2*(E158+$E$176))*'Lattice Energy'!$U$13*(1-1/78.5)-5/2*RT</f>
        <v>-309.6638618956043</v>
      </c>
      <c r="H158" s="258">
        <f t="shared" si="24"/>
        <v>-773.0840503534148</v>
      </c>
      <c r="I158" s="258">
        <f t="shared" si="25"/>
        <v>79.38405035341475</v>
      </c>
      <c r="J158" s="258">
        <f t="shared" si="26"/>
        <v>6301.827450513489</v>
      </c>
      <c r="P158" s="264">
        <v>84.673</v>
      </c>
      <c r="Q158" s="269">
        <v>7.31</v>
      </c>
      <c r="R158">
        <f t="shared" si="27"/>
        <v>30.58504</v>
      </c>
      <c r="S158" s="245">
        <f t="shared" si="28"/>
        <v>1.8392569135162504</v>
      </c>
      <c r="T158" s="245"/>
      <c r="W158" s="244"/>
      <c r="X158" s="244"/>
      <c r="Y158" s="251">
        <v>350</v>
      </c>
      <c r="AA158" s="253">
        <v>49.66</v>
      </c>
      <c r="AB158" s="244">
        <f>AA158/Rjmk/AB$90</f>
        <v>2.9863455573449302</v>
      </c>
      <c r="AD158" s="251"/>
    </row>
    <row r="159" spans="1:30" ht="12.75">
      <c r="A159" s="3" t="s">
        <v>751</v>
      </c>
      <c r="B159" s="38">
        <v>0.91</v>
      </c>
      <c r="C159" s="258">
        <f t="shared" si="23"/>
        <v>-923.91</v>
      </c>
      <c r="D159">
        <v>102</v>
      </c>
      <c r="E159">
        <v>133</v>
      </c>
      <c r="F159" s="258">
        <f>-1/(2*(D159+$D$176))*'Lattice Energy'!$U$13*(1-1/78.5)-5/2*RT</f>
        <v>-395.8759170104777</v>
      </c>
      <c r="G159" s="258">
        <f>-1/(2*(E159+$E$176))*'Lattice Energy'!$U$13*(1-1/78.5)-5/2*RT</f>
        <v>-499.6032846177542</v>
      </c>
      <c r="H159" s="258">
        <f t="shared" si="24"/>
        <v>-895.4792016282319</v>
      </c>
      <c r="I159" s="258">
        <f t="shared" si="25"/>
        <v>-28.430798371768105</v>
      </c>
      <c r="J159" s="258">
        <f t="shared" si="26"/>
        <v>808.310296056132</v>
      </c>
      <c r="P159" s="264">
        <v>87.324</v>
      </c>
      <c r="Q159" s="269">
        <v>7.527</v>
      </c>
      <c r="R159">
        <f t="shared" si="27"/>
        <v>31.492968</v>
      </c>
      <c r="S159" s="245">
        <f t="shared" si="28"/>
        <v>1.8938559217560627</v>
      </c>
      <c r="T159" s="245"/>
      <c r="W159" s="244"/>
      <c r="X159" s="244"/>
      <c r="Y159" s="254">
        <v>400</v>
      </c>
      <c r="AA159" s="253">
        <v>50.97</v>
      </c>
      <c r="AB159" s="244">
        <f>AA159/Rjmk/AB$90</f>
        <v>3.0651235009639772</v>
      </c>
      <c r="AD159" s="251"/>
    </row>
    <row r="160" spans="1:30" ht="12.75">
      <c r="A160" s="3" t="s">
        <v>879</v>
      </c>
      <c r="B160" s="38">
        <v>3.88</v>
      </c>
      <c r="C160" s="258">
        <f t="shared" si="23"/>
        <v>-789.88</v>
      </c>
      <c r="D160">
        <v>102</v>
      </c>
      <c r="E160">
        <v>181</v>
      </c>
      <c r="F160" s="258">
        <f>-1/(2*(D160+$D$176))*'Lattice Energy'!$U$13*(1-1/78.5)-5/2*RT</f>
        <v>-395.8759170104777</v>
      </c>
      <c r="G160" s="258">
        <f>-1/(2*(E160+$E$176))*'Lattice Energy'!$U$13*(1-1/78.5)-5/2*RT</f>
        <v>-372.9536529446408</v>
      </c>
      <c r="H160" s="258">
        <f t="shared" si="24"/>
        <v>-768.8295699551185</v>
      </c>
      <c r="I160" s="258">
        <f t="shared" si="25"/>
        <v>-21.050430044881523</v>
      </c>
      <c r="J160" s="258">
        <f t="shared" si="26"/>
        <v>443.12060507445074</v>
      </c>
      <c r="P160" s="264">
        <v>89.896</v>
      </c>
      <c r="Q160" s="269">
        <v>7.702</v>
      </c>
      <c r="R160">
        <f t="shared" si="27"/>
        <v>32.225168000000004</v>
      </c>
      <c r="S160" s="245">
        <f t="shared" si="28"/>
        <v>1.9378873800139758</v>
      </c>
      <c r="T160" s="245"/>
      <c r="W160" s="244"/>
      <c r="X160" s="244"/>
      <c r="Y160" s="254">
        <v>500</v>
      </c>
      <c r="AA160" s="253">
        <v>53.34</v>
      </c>
      <c r="AB160" s="244">
        <f>AA160/Rjmk/AB$90</f>
        <v>3.207645429496146</v>
      </c>
      <c r="AD160" s="251"/>
    </row>
    <row r="161" spans="1:30" ht="12.75">
      <c r="A161" s="3" t="s">
        <v>749</v>
      </c>
      <c r="B161" s="38">
        <v>-0.6</v>
      </c>
      <c r="C161" s="258">
        <f t="shared" si="23"/>
        <v>-746.4</v>
      </c>
      <c r="D161">
        <v>102</v>
      </c>
      <c r="E161">
        <v>196</v>
      </c>
      <c r="F161" s="258">
        <f>-1/(2*(D161+$D$176))*'Lattice Energy'!$U$13*(1-1/78.5)-5/2*RT</f>
        <v>-395.8759170104777</v>
      </c>
      <c r="G161" s="258">
        <f>-1/(2*(E161+$E$176))*'Lattice Energy'!$U$13*(1-1/78.5)-5/2*RT</f>
        <v>-345.7192797971117</v>
      </c>
      <c r="H161" s="258">
        <f t="shared" si="24"/>
        <v>-741.5951968075894</v>
      </c>
      <c r="I161" s="258">
        <f t="shared" si="25"/>
        <v>-4.804803192410532</v>
      </c>
      <c r="J161" s="258">
        <f t="shared" si="26"/>
        <v>23.086133717798436</v>
      </c>
      <c r="P161" s="264">
        <v>92.648</v>
      </c>
      <c r="Q161" s="269">
        <v>7.873</v>
      </c>
      <c r="R161">
        <f t="shared" si="27"/>
        <v>32.940632</v>
      </c>
      <c r="S161" s="245">
        <f t="shared" si="28"/>
        <v>1.980912404940279</v>
      </c>
      <c r="T161" s="245"/>
      <c r="W161" s="244"/>
      <c r="X161" s="244"/>
      <c r="Y161" s="254">
        <v>600</v>
      </c>
      <c r="AA161" s="253">
        <v>55.59</v>
      </c>
      <c r="AB161" s="244">
        <f>AA161/Rjmk/AB$90</f>
        <v>3.3429510578494703</v>
      </c>
      <c r="AD161" s="251"/>
    </row>
    <row r="162" spans="1:28" ht="12.75">
      <c r="A162" s="3" t="s">
        <v>750</v>
      </c>
      <c r="B162" s="38">
        <v>-7.53</v>
      </c>
      <c r="C162" s="258">
        <f t="shared" si="23"/>
        <v>-696.47</v>
      </c>
      <c r="D162">
        <v>102</v>
      </c>
      <c r="E162">
        <v>220</v>
      </c>
      <c r="F162" s="258">
        <f>-1/(2*(D162+$D$176))*'Lattice Energy'!$U$13*(1-1/78.5)-5/2*RT</f>
        <v>-395.8759170104777</v>
      </c>
      <c r="G162" s="258">
        <f>-1/(2*(E162+$E$176))*'Lattice Energy'!$U$13*(1-1/78.5)-5/2*RT</f>
        <v>-309.6638618956043</v>
      </c>
      <c r="H162" s="258">
        <f t="shared" si="24"/>
        <v>-705.539778906082</v>
      </c>
      <c r="I162" s="258">
        <f t="shared" si="25"/>
        <v>9.069778906081979</v>
      </c>
      <c r="J162" s="258">
        <f t="shared" si="26"/>
        <v>82.26088940520961</v>
      </c>
      <c r="P162" s="264">
        <v>95.573</v>
      </c>
      <c r="Q162" s="269">
        <v>8.077</v>
      </c>
      <c r="R162">
        <f t="shared" si="27"/>
        <v>33.794168</v>
      </c>
      <c r="S162" s="245">
        <f t="shared" si="28"/>
        <v>2.03224050485236</v>
      </c>
      <c r="T162" s="245"/>
      <c r="Y162" s="251"/>
      <c r="AA162" s="253"/>
      <c r="AB162" s="244"/>
    </row>
    <row r="163" spans="1:28" ht="12.75">
      <c r="A163" s="3" t="s">
        <v>752</v>
      </c>
      <c r="B163" s="38">
        <v>-17.73</v>
      </c>
      <c r="C163" s="258">
        <f t="shared" si="23"/>
        <v>-803.27</v>
      </c>
      <c r="D163">
        <v>138</v>
      </c>
      <c r="E163">
        <v>133</v>
      </c>
      <c r="F163" s="258">
        <f>-1/(2*(D163+$D$176))*'Lattice Energy'!$U$13*(1-1/78.5)-5/2*RT</f>
        <v>-329.70409810343904</v>
      </c>
      <c r="G163" s="258">
        <f>-1/(2*(E163+$E$176))*'Lattice Energy'!$U$13*(1-1/78.5)-5/2*RT</f>
        <v>-499.6032846177542</v>
      </c>
      <c r="H163" s="258">
        <f t="shared" si="24"/>
        <v>-829.3073827211932</v>
      </c>
      <c r="I163" s="258">
        <f t="shared" si="25"/>
        <v>26.03738272119324</v>
      </c>
      <c r="J163" s="258">
        <f t="shared" si="26"/>
        <v>677.9452989698923</v>
      </c>
      <c r="P163" s="264">
        <v>135.505</v>
      </c>
      <c r="Q163" s="269">
        <v>9.861</v>
      </c>
      <c r="R163">
        <f t="shared" si="27"/>
        <v>41.258424000000005</v>
      </c>
      <c r="S163" s="245">
        <f t="shared" si="28"/>
        <v>2.481109770750171</v>
      </c>
      <c r="T163" s="245"/>
      <c r="Y163" s="251"/>
      <c r="AA163" s="253"/>
      <c r="AB163" s="244"/>
    </row>
    <row r="164" spans="1:28" ht="12.75">
      <c r="A164" s="3" t="s">
        <v>753</v>
      </c>
      <c r="B164" s="38">
        <v>17.22</v>
      </c>
      <c r="C164" s="258">
        <f t="shared" si="23"/>
        <v>-732.22</v>
      </c>
      <c r="D164">
        <v>138</v>
      </c>
      <c r="E164">
        <v>181</v>
      </c>
      <c r="F164" s="258">
        <f>-1/(2*(D164+$D$176))*'Lattice Energy'!$U$13*(1-1/78.5)-5/2*RT</f>
        <v>-329.70409810343904</v>
      </c>
      <c r="G164" s="258">
        <f>-1/(2*(E164+$E$176))*'Lattice Energy'!$U$13*(1-1/78.5)-5/2*RT</f>
        <v>-372.9536529446408</v>
      </c>
      <c r="H164" s="258">
        <f t="shared" si="24"/>
        <v>-702.6577510480798</v>
      </c>
      <c r="I164" s="258">
        <f t="shared" si="25"/>
        <v>-29.562248951920196</v>
      </c>
      <c r="J164" s="258">
        <f t="shared" si="26"/>
        <v>873.9265630953067</v>
      </c>
      <c r="P164" s="264">
        <v>138.937</v>
      </c>
      <c r="Q164" s="269">
        <v>9.963</v>
      </c>
      <c r="R164">
        <f t="shared" si="27"/>
        <v>41.685192</v>
      </c>
      <c r="S164" s="245">
        <f t="shared" si="28"/>
        <v>2.5067738207062114</v>
      </c>
      <c r="T164" s="245"/>
      <c r="Y164" s="251"/>
      <c r="AA164" s="253"/>
      <c r="AB164" s="244"/>
    </row>
    <row r="165" spans="1:28" ht="12.75">
      <c r="A165" s="3" t="s">
        <v>754</v>
      </c>
      <c r="B165" s="38">
        <v>19.87</v>
      </c>
      <c r="C165" s="258">
        <f t="shared" si="23"/>
        <v>-701.87</v>
      </c>
      <c r="D165">
        <v>138</v>
      </c>
      <c r="E165">
        <v>196</v>
      </c>
      <c r="F165" s="258">
        <f>-1/(2*(D165+$D$176))*'Lattice Energy'!$U$13*(1-1/78.5)-5/2*RT</f>
        <v>-329.70409810343904</v>
      </c>
      <c r="G165" s="258">
        <f>-1/(2*(E165+$E$176))*'Lattice Energy'!$U$13*(1-1/78.5)-5/2*RT</f>
        <v>-345.7192797971117</v>
      </c>
      <c r="H165" s="258">
        <f t="shared" si="24"/>
        <v>-675.4233779005508</v>
      </c>
      <c r="I165" s="258">
        <f t="shared" si="25"/>
        <v>-26.4466220994492</v>
      </c>
      <c r="J165" s="258">
        <f t="shared" si="26"/>
        <v>699.4238204710748</v>
      </c>
      <c r="P165" s="264">
        <v>142.509</v>
      </c>
      <c r="Q165" s="269">
        <v>10.076</v>
      </c>
      <c r="R165">
        <f t="shared" si="27"/>
        <v>42.157984000000006</v>
      </c>
      <c r="S165" s="245">
        <f t="shared" si="28"/>
        <v>2.5352055623241783</v>
      </c>
      <c r="T165" s="245"/>
      <c r="Y165" s="251"/>
      <c r="AA165" s="253"/>
      <c r="AB165" s="244"/>
    </row>
    <row r="166" spans="1:28" ht="12.75">
      <c r="A166" s="3" t="s">
        <v>755</v>
      </c>
      <c r="B166" s="38">
        <v>20.33</v>
      </c>
      <c r="C166" s="258">
        <f t="shared" si="23"/>
        <v>-669.33</v>
      </c>
      <c r="D166">
        <v>138</v>
      </c>
      <c r="E166">
        <v>220</v>
      </c>
      <c r="F166" s="258">
        <f>-1/(2*(D166+$D$176))*'Lattice Energy'!$U$13*(1-1/78.5)-5/2*RT</f>
        <v>-329.70409810343904</v>
      </c>
      <c r="G166" s="258">
        <f>-1/(2*(E166+$E$176))*'Lattice Energy'!$U$13*(1-1/78.5)-5/2*RT</f>
        <v>-309.6638618956043</v>
      </c>
      <c r="H166" s="258">
        <f t="shared" si="24"/>
        <v>-639.3679599990434</v>
      </c>
      <c r="I166" s="258">
        <f t="shared" si="25"/>
        <v>-29.962040000956677</v>
      </c>
      <c r="J166" s="258">
        <f t="shared" si="26"/>
        <v>897.7238410189279</v>
      </c>
      <c r="P166" s="264">
        <v>146.224</v>
      </c>
      <c r="Q166" s="269">
        <v>10.185</v>
      </c>
      <c r="R166">
        <f t="shared" si="27"/>
        <v>42.61404</v>
      </c>
      <c r="S166" s="245">
        <f t="shared" si="28"/>
        <v>2.562630870610535</v>
      </c>
      <c r="T166" s="245"/>
      <c r="Y166" s="251"/>
      <c r="AB166" s="244"/>
    </row>
    <row r="167" spans="1:25" ht="12.75">
      <c r="A167" s="3" t="s">
        <v>756</v>
      </c>
      <c r="B167" s="38">
        <v>-26.11</v>
      </c>
      <c r="C167" s="258">
        <f t="shared" si="23"/>
        <v>-758.89</v>
      </c>
      <c r="D167">
        <v>152</v>
      </c>
      <c r="E167">
        <v>133</v>
      </c>
      <c r="F167" s="258">
        <f>-1/(2*(D167+$D$176))*'Lattice Energy'!$U$13*(1-1/78.5)-5/2*RT</f>
        <v>-309.6638618956043</v>
      </c>
      <c r="G167" s="258">
        <f>-1/(2*(E167+$E$176))*'Lattice Energy'!$U$13*(1-1/78.5)-5/2*RT</f>
        <v>-499.6032846177542</v>
      </c>
      <c r="H167" s="258">
        <f t="shared" si="24"/>
        <v>-809.2671465133585</v>
      </c>
      <c r="I167" s="258">
        <f t="shared" si="25"/>
        <v>50.377146513358525</v>
      </c>
      <c r="J167" s="258">
        <f t="shared" si="26"/>
        <v>2537.856890828391</v>
      </c>
      <c r="P167" s="264">
        <v>150.994</v>
      </c>
      <c r="Q167" s="269">
        <v>10.32</v>
      </c>
      <c r="R167">
        <f t="shared" si="27"/>
        <v>43.17888</v>
      </c>
      <c r="S167" s="245">
        <f t="shared" si="28"/>
        <v>2.5965979955523535</v>
      </c>
      <c r="T167" s="245"/>
      <c r="Y167" s="35"/>
    </row>
    <row r="168" spans="1:20" ht="12.75">
      <c r="A168" s="3" t="s">
        <v>863</v>
      </c>
      <c r="B168" s="38">
        <v>17.28</v>
      </c>
      <c r="C168" s="258">
        <f t="shared" si="23"/>
        <v>-706.28</v>
      </c>
      <c r="D168">
        <v>152</v>
      </c>
      <c r="E168">
        <v>181</v>
      </c>
      <c r="F168" s="258">
        <f>-1/(2*(D168+$D$176))*'Lattice Energy'!$U$13*(1-1/78.5)-5/2*RT</f>
        <v>-309.6638618956043</v>
      </c>
      <c r="G168" s="258">
        <f>-1/(2*(E168+$E$176))*'Lattice Energy'!$U$13*(1-1/78.5)-5/2*RT</f>
        <v>-372.9536529446408</v>
      </c>
      <c r="H168" s="258">
        <f t="shared" si="24"/>
        <v>-682.6175148402451</v>
      </c>
      <c r="I168" s="258">
        <f t="shared" si="25"/>
        <v>-23.66248515975485</v>
      </c>
      <c r="J168" s="258">
        <f t="shared" si="26"/>
        <v>559.9132039356185</v>
      </c>
      <c r="P168" s="264">
        <v>154.626</v>
      </c>
      <c r="Q168" s="269">
        <v>10.405</v>
      </c>
      <c r="R168">
        <f t="shared" si="27"/>
        <v>43.53452</v>
      </c>
      <c r="S168" s="245">
        <f t="shared" si="28"/>
        <v>2.617984703849054</v>
      </c>
      <c r="T168" s="245"/>
    </row>
    <row r="169" spans="1:20" ht="12.75">
      <c r="A169" s="3" t="s">
        <v>757</v>
      </c>
      <c r="B169" s="38">
        <v>21.88</v>
      </c>
      <c r="C169" s="258">
        <f t="shared" si="23"/>
        <v>-681.88</v>
      </c>
      <c r="D169">
        <v>152</v>
      </c>
      <c r="E169">
        <v>196</v>
      </c>
      <c r="F169" s="258">
        <f>-1/(2*(D169+$D$176))*'Lattice Energy'!$U$13*(1-1/78.5)-5/2*RT</f>
        <v>-309.6638618956043</v>
      </c>
      <c r="G169" s="258">
        <f>-1/(2*(E169+$E$176))*'Lattice Energy'!$U$13*(1-1/78.5)-5/2*RT</f>
        <v>-345.7192797971117</v>
      </c>
      <c r="H169" s="258">
        <f t="shared" si="24"/>
        <v>-655.383141692716</v>
      </c>
      <c r="I169" s="258">
        <f t="shared" si="25"/>
        <v>-26.496858307284015</v>
      </c>
      <c r="J169" s="258">
        <f t="shared" si="26"/>
        <v>702.0835001562859</v>
      </c>
      <c r="P169" s="264">
        <v>158.219</v>
      </c>
      <c r="Q169" s="269">
        <v>10.517</v>
      </c>
      <c r="R169">
        <f t="shared" si="27"/>
        <v>44.003128</v>
      </c>
      <c r="S169" s="245">
        <f t="shared" si="28"/>
        <v>2.646164837134118</v>
      </c>
      <c r="T169" s="245"/>
    </row>
    <row r="170" spans="1:20" ht="12.75">
      <c r="A170" s="3" t="s">
        <v>758</v>
      </c>
      <c r="B170" s="38">
        <v>25.1</v>
      </c>
      <c r="C170" s="258">
        <f t="shared" si="23"/>
        <v>-655.1</v>
      </c>
      <c r="D170">
        <v>152</v>
      </c>
      <c r="E170">
        <v>220</v>
      </c>
      <c r="F170" s="258">
        <f>-1/(2*(D170+$D$176))*'Lattice Energy'!$U$13*(1-1/78.5)-5/2*RT</f>
        <v>-309.6638618956043</v>
      </c>
      <c r="G170" s="258">
        <f>-1/(2*(E170+$E$176))*'Lattice Energy'!$U$13*(1-1/78.5)-5/2*RT</f>
        <v>-309.6638618956043</v>
      </c>
      <c r="H170" s="258">
        <f t="shared" si="24"/>
        <v>-619.3277237912087</v>
      </c>
      <c r="I170" s="258">
        <f t="shared" si="25"/>
        <v>-35.77227620879137</v>
      </c>
      <c r="J170" s="258">
        <f t="shared" si="26"/>
        <v>1279.6557451580609</v>
      </c>
      <c r="P170" s="264">
        <v>161.771</v>
      </c>
      <c r="Q170" s="269">
        <v>10.602</v>
      </c>
      <c r="R170">
        <f t="shared" si="27"/>
        <v>44.358768000000005</v>
      </c>
      <c r="S170" s="245">
        <f t="shared" si="28"/>
        <v>2.667551545430819</v>
      </c>
      <c r="T170" s="245"/>
    </row>
    <row r="171" spans="1:20" ht="12.75">
      <c r="A171" s="3" t="s">
        <v>835</v>
      </c>
      <c r="B171" s="38">
        <v>-36.86</v>
      </c>
      <c r="C171" s="258">
        <f t="shared" si="23"/>
        <v>-703.14</v>
      </c>
      <c r="D171">
        <v>167</v>
      </c>
      <c r="E171">
        <v>133</v>
      </c>
      <c r="F171" s="258">
        <f>-1/(2*(D171+$D$176))*'Lattice Energy'!$U$13*(1-1/78.5)-5/2*RT</f>
        <v>-290.77590957168184</v>
      </c>
      <c r="G171" s="258">
        <f>-1/(2*(E171+$E$176))*'Lattice Energy'!$U$13*(1-1/78.5)-5/2*RT</f>
        <v>-499.6032846177542</v>
      </c>
      <c r="H171" s="258">
        <f t="shared" si="24"/>
        <v>-790.379194189436</v>
      </c>
      <c r="I171" s="258">
        <f t="shared" si="25"/>
        <v>87.23919418943603</v>
      </c>
      <c r="J171" s="258">
        <f t="shared" si="26"/>
        <v>7610.67700282213</v>
      </c>
      <c r="P171" s="264">
        <v>190.225</v>
      </c>
      <c r="Q171" s="269">
        <v>11.064</v>
      </c>
      <c r="R171">
        <f t="shared" si="27"/>
        <v>46.291776</v>
      </c>
      <c r="S171" s="245">
        <f t="shared" si="28"/>
        <v>2.783794595231709</v>
      </c>
      <c r="T171" s="245"/>
    </row>
    <row r="172" spans="1:20" ht="12.75">
      <c r="A172" s="3" t="s">
        <v>952</v>
      </c>
      <c r="B172" s="38">
        <v>17.78</v>
      </c>
      <c r="C172" s="258">
        <f t="shared" si="23"/>
        <v>-676.78</v>
      </c>
      <c r="D172">
        <v>167</v>
      </c>
      <c r="E172">
        <v>181</v>
      </c>
      <c r="F172" s="258">
        <f>-1/(2*(D172+$D$176))*'Lattice Energy'!$U$13*(1-1/78.5)-5/2*RT</f>
        <v>-290.77590957168184</v>
      </c>
      <c r="G172" s="258">
        <f>-1/(2*(E172+$E$176))*'Lattice Energy'!$U$13*(1-1/78.5)-5/2*RT</f>
        <v>-372.9536529446408</v>
      </c>
      <c r="H172" s="258">
        <f t="shared" si="24"/>
        <v>-663.7295625163226</v>
      </c>
      <c r="I172" s="258">
        <f t="shared" si="25"/>
        <v>-13.050437483677342</v>
      </c>
      <c r="J172" s="258">
        <f t="shared" si="26"/>
        <v>170.3139185153706</v>
      </c>
      <c r="P172" s="264">
        <v>193.523</v>
      </c>
      <c r="Q172" s="269">
        <v>11.125</v>
      </c>
      <c r="R172">
        <f t="shared" si="27"/>
        <v>46.547000000000004</v>
      </c>
      <c r="S172" s="245">
        <f t="shared" si="28"/>
        <v>2.7991427035387533</v>
      </c>
      <c r="T172" s="245"/>
    </row>
    <row r="173" spans="1:20" ht="12.75" customHeight="1">
      <c r="A173" s="3" t="s">
        <v>748</v>
      </c>
      <c r="B173" s="38">
        <v>25.98</v>
      </c>
      <c r="C173" s="258">
        <f t="shared" si="23"/>
        <v>-656.98</v>
      </c>
      <c r="D173">
        <v>167</v>
      </c>
      <c r="E173">
        <v>196</v>
      </c>
      <c r="F173" s="258">
        <f>-1/(2*(D173+$D$176))*'Lattice Energy'!$U$13*(1-1/78.5)-5/2*RT</f>
        <v>-290.77590957168184</v>
      </c>
      <c r="G173" s="258">
        <f>-1/(2*(E173+$E$176))*'Lattice Energy'!$U$13*(1-1/78.5)-5/2*RT</f>
        <v>-345.7192797971117</v>
      </c>
      <c r="H173" s="258">
        <f t="shared" si="24"/>
        <v>-636.4951893687935</v>
      </c>
      <c r="I173" s="258">
        <f t="shared" si="25"/>
        <v>-20.48481063120653</v>
      </c>
      <c r="J173" s="258">
        <f t="shared" si="26"/>
        <v>419.627466596392</v>
      </c>
      <c r="P173" s="264">
        <v>196.794</v>
      </c>
      <c r="Q173" s="269">
        <v>11.161</v>
      </c>
      <c r="R173">
        <f t="shared" si="27"/>
        <v>46.697624</v>
      </c>
      <c r="S173" s="245">
        <f t="shared" si="28"/>
        <v>2.808200603523238</v>
      </c>
      <c r="T173" s="245"/>
    </row>
    <row r="174" spans="1:20" ht="12.75">
      <c r="A174" s="3" t="s">
        <v>744</v>
      </c>
      <c r="B174" s="38">
        <v>33.35</v>
      </c>
      <c r="C174" s="258">
        <f t="shared" si="23"/>
        <v>-637.35</v>
      </c>
      <c r="D174">
        <v>167</v>
      </c>
      <c r="E174">
        <v>220</v>
      </c>
      <c r="F174" s="258">
        <f>-1/(2*(D174+$D$176))*'Lattice Energy'!$U$13*(1-1/78.5)-5/2*RT</f>
        <v>-290.77590957168184</v>
      </c>
      <c r="G174" s="258">
        <f>-1/(2*(E174+$E$176))*'Lattice Energy'!$U$13*(1-1/78.5)-5/2*RT</f>
        <v>-309.6638618956043</v>
      </c>
      <c r="H174" s="258">
        <f t="shared" si="24"/>
        <v>-600.4397714672862</v>
      </c>
      <c r="I174" s="258">
        <f t="shared" si="25"/>
        <v>-36.91022853271386</v>
      </c>
      <c r="J174" s="258">
        <f t="shared" si="26"/>
        <v>1362.3649703371643</v>
      </c>
      <c r="P174" s="264">
        <v>200.048</v>
      </c>
      <c r="Q174" s="269">
        <v>11.206</v>
      </c>
      <c r="R174">
        <f t="shared" si="27"/>
        <v>46.885904</v>
      </c>
      <c r="S174" s="245">
        <f t="shared" si="28"/>
        <v>2.8195229785038443</v>
      </c>
      <c r="T174" s="245"/>
    </row>
    <row r="175" spans="1:20" ht="12.75">
      <c r="A175" s="272"/>
      <c r="D175" s="6" t="s">
        <v>562</v>
      </c>
      <c r="E175" s="6" t="s">
        <v>563</v>
      </c>
      <c r="F175" s="3"/>
      <c r="I175" s="276" t="s">
        <v>764</v>
      </c>
      <c r="J175" s="277">
        <f>SUM(J155:J174)</f>
        <v>34502.625361495586</v>
      </c>
      <c r="P175" s="264">
        <v>203.282</v>
      </c>
      <c r="Q175" s="269">
        <v>11.262</v>
      </c>
      <c r="R175">
        <f t="shared" si="27"/>
        <v>47.120208000000005</v>
      </c>
      <c r="S175" s="245">
        <f t="shared" si="28"/>
        <v>2.833613045146377</v>
      </c>
      <c r="T175" s="245"/>
    </row>
    <row r="176" spans="3:25" ht="12.75">
      <c r="C176" s="5" t="s">
        <v>767</v>
      </c>
      <c r="D176" s="38">
        <v>74</v>
      </c>
      <c r="E176" s="38">
        <v>6</v>
      </c>
      <c r="F176" t="s">
        <v>763</v>
      </c>
      <c r="P176" s="264">
        <v>206.497</v>
      </c>
      <c r="Q176" s="269">
        <v>11.296</v>
      </c>
      <c r="R176">
        <f t="shared" si="27"/>
        <v>47.262464</v>
      </c>
      <c r="S176" s="245">
        <f t="shared" si="28"/>
        <v>2.842167728465057</v>
      </c>
      <c r="T176" s="245"/>
      <c r="Y176" s="35"/>
    </row>
    <row r="177" spans="6:25" ht="12.75">
      <c r="F177" s="37"/>
      <c r="G177" s="278"/>
      <c r="H177" s="37"/>
      <c r="I177" s="37"/>
      <c r="J177" s="37"/>
      <c r="P177" s="264">
        <v>209.696</v>
      </c>
      <c r="Q177" s="269">
        <v>11.34</v>
      </c>
      <c r="R177">
        <f t="shared" si="27"/>
        <v>47.44656</v>
      </c>
      <c r="S177" s="245">
        <f t="shared" si="28"/>
        <v>2.8532384951127603</v>
      </c>
      <c r="T177" s="245"/>
      <c r="Y177" s="35"/>
    </row>
    <row r="178" spans="2:25" ht="12.75">
      <c r="B178" s="340" t="s">
        <v>8</v>
      </c>
      <c r="C178" s="340"/>
      <c r="D178" s="340"/>
      <c r="E178" s="340"/>
      <c r="F178" s="340"/>
      <c r="G178" s="340"/>
      <c r="H178" s="340"/>
      <c r="I178" s="340"/>
      <c r="J178" s="340"/>
      <c r="P178" s="264">
        <v>242.093</v>
      </c>
      <c r="Q178" s="269">
        <v>11.674</v>
      </c>
      <c r="R178">
        <f t="shared" si="27"/>
        <v>48.844015999999996</v>
      </c>
      <c r="S178" s="245">
        <f t="shared" si="28"/>
        <v>2.9372756783021488</v>
      </c>
      <c r="T178" s="245"/>
      <c r="Y178" s="35"/>
    </row>
    <row r="179" spans="2:25" ht="12.75">
      <c r="B179" s="340"/>
      <c r="C179" s="340"/>
      <c r="D179" s="340"/>
      <c r="E179" s="340"/>
      <c r="F179" s="340"/>
      <c r="G179" s="340"/>
      <c r="H179" s="340"/>
      <c r="I179" s="340"/>
      <c r="J179" s="340"/>
      <c r="P179" s="264">
        <v>245.549</v>
      </c>
      <c r="Q179" s="269">
        <v>11.712</v>
      </c>
      <c r="R179">
        <f t="shared" si="27"/>
        <v>49.003008</v>
      </c>
      <c r="S179" s="245">
        <f t="shared" si="28"/>
        <v>2.9468367949524383</v>
      </c>
      <c r="T179" s="245"/>
      <c r="Y179" s="35"/>
    </row>
    <row r="180" spans="2:25" ht="12.75">
      <c r="B180" s="37"/>
      <c r="C180" s="37"/>
      <c r="D180" s="37"/>
      <c r="E180" s="37"/>
      <c r="F180" s="37"/>
      <c r="G180" s="37"/>
      <c r="H180" s="37"/>
      <c r="I180" s="37"/>
      <c r="J180" s="37"/>
      <c r="P180" s="264">
        <v>248.99</v>
      </c>
      <c r="Q180" s="269">
        <v>11.755</v>
      </c>
      <c r="R180">
        <f t="shared" si="27"/>
        <v>49.18292</v>
      </c>
      <c r="S180" s="245">
        <f t="shared" si="28"/>
        <v>2.95765595326724</v>
      </c>
      <c r="T180" s="245"/>
      <c r="Y180" s="35"/>
    </row>
    <row r="181" spans="2:25" ht="12.75">
      <c r="B181" s="37"/>
      <c r="C181" s="344" t="s">
        <v>5</v>
      </c>
      <c r="D181" s="344"/>
      <c r="E181" s="344"/>
      <c r="F181" s="344"/>
      <c r="G181" s="344"/>
      <c r="H181" s="344"/>
      <c r="I181" s="344"/>
      <c r="J181" s="37"/>
      <c r="L181" s="210" t="s">
        <v>3</v>
      </c>
      <c r="P181" s="264">
        <v>252.915</v>
      </c>
      <c r="Q181" s="269">
        <v>11.795</v>
      </c>
      <c r="R181">
        <f t="shared" si="27"/>
        <v>49.350280000000005</v>
      </c>
      <c r="S181" s="245">
        <f t="shared" si="28"/>
        <v>2.9677202865833348</v>
      </c>
      <c r="T181" s="245"/>
      <c r="Y181" s="35"/>
    </row>
    <row r="182" spans="2:25" ht="12.75">
      <c r="B182" s="37"/>
      <c r="C182" s="344"/>
      <c r="D182" s="344"/>
      <c r="E182" s="344"/>
      <c r="F182" s="344"/>
      <c r="G182" s="344"/>
      <c r="H182" s="344"/>
      <c r="I182" s="344"/>
      <c r="J182" s="37"/>
      <c r="L182" s="33" t="s">
        <v>4</v>
      </c>
      <c r="P182" s="264">
        <v>256.333</v>
      </c>
      <c r="Q182" s="269">
        <v>11.83</v>
      </c>
      <c r="R182">
        <f t="shared" si="27"/>
        <v>49.49672</v>
      </c>
      <c r="S182" s="245">
        <f t="shared" si="28"/>
        <v>2.976526578234917</v>
      </c>
      <c r="T182" s="245"/>
      <c r="Y182" s="35"/>
    </row>
    <row r="183" spans="4:25" ht="15.75">
      <c r="D183" s="343" t="s">
        <v>1060</v>
      </c>
      <c r="E183" s="343"/>
      <c r="J183" s="37"/>
      <c r="L183" s="8" t="s">
        <v>791</v>
      </c>
      <c r="M183" s="279" t="s">
        <v>1061</v>
      </c>
      <c r="P183" s="264">
        <v>259.737</v>
      </c>
      <c r="Q183" s="269">
        <v>11.841</v>
      </c>
      <c r="R183">
        <f t="shared" si="27"/>
        <v>49.542744</v>
      </c>
      <c r="S183" s="245">
        <f t="shared" si="28"/>
        <v>2.979294269896843</v>
      </c>
      <c r="T183" s="245"/>
      <c r="Y183" s="35"/>
    </row>
    <row r="184" spans="4:25" ht="14.25">
      <c r="D184" t="s">
        <v>778</v>
      </c>
      <c r="E184" t="s">
        <v>780</v>
      </c>
      <c r="F184" t="s">
        <v>829</v>
      </c>
      <c r="L184" t="s">
        <v>1062</v>
      </c>
      <c r="M184">
        <v>-515</v>
      </c>
      <c r="P184" s="264">
        <v>263.128</v>
      </c>
      <c r="Q184" s="269">
        <v>11.851</v>
      </c>
      <c r="R184">
        <f t="shared" si="27"/>
        <v>49.58458400000001</v>
      </c>
      <c r="S184" s="245">
        <f t="shared" si="28"/>
        <v>2.981810353225867</v>
      </c>
      <c r="T184" s="245"/>
      <c r="Y184" s="35"/>
    </row>
    <row r="185" spans="3:25" ht="14.25">
      <c r="C185" t="s">
        <v>1062</v>
      </c>
      <c r="D185" s="258">
        <f>F155</f>
        <v>-463.42018845781047</v>
      </c>
      <c r="E185">
        <f>M184</f>
        <v>-515</v>
      </c>
      <c r="F185" s="34">
        <f aca="true" t="shared" si="29" ref="F185:F193">(D185-E185)/E185*100</f>
        <v>-10.01549738683292</v>
      </c>
      <c r="L185" t="s">
        <v>1063</v>
      </c>
      <c r="M185">
        <v>-405</v>
      </c>
      <c r="P185" s="264">
        <v>266.504</v>
      </c>
      <c r="Q185" s="269">
        <v>11.883</v>
      </c>
      <c r="R185">
        <f t="shared" si="27"/>
        <v>49.718472</v>
      </c>
      <c r="S185" s="245">
        <f t="shared" si="28"/>
        <v>2.989861819878742</v>
      </c>
      <c r="T185" s="245"/>
      <c r="Y185" s="35"/>
    </row>
    <row r="186" spans="3:25" ht="14.25">
      <c r="C186" t="s">
        <v>1063</v>
      </c>
      <c r="D186" s="258">
        <f>F159</f>
        <v>-395.8759170104777</v>
      </c>
      <c r="E186">
        <f>M185</f>
        <v>-405</v>
      </c>
      <c r="F186" s="34">
        <f t="shared" si="29"/>
        <v>-2.252859997412919</v>
      </c>
      <c r="L186" t="s">
        <v>1064</v>
      </c>
      <c r="M186">
        <v>-321</v>
      </c>
      <c r="P186" s="254">
        <v>300</v>
      </c>
      <c r="Q186" s="3"/>
      <c r="R186" s="253">
        <v>50.21</v>
      </c>
      <c r="S186" s="244">
        <f>R186/Rjmk/2</f>
        <v>3.0194202664979657</v>
      </c>
      <c r="T186" s="244"/>
      <c r="Y186" s="35"/>
    </row>
    <row r="187" spans="3:25" ht="14.25">
      <c r="C187" t="s">
        <v>1064</v>
      </c>
      <c r="D187" s="258">
        <f>F163</f>
        <v>-329.70409810343904</v>
      </c>
      <c r="E187">
        <f>M186</f>
        <v>-321</v>
      </c>
      <c r="F187" s="34">
        <f t="shared" si="29"/>
        <v>2.7115570415697934</v>
      </c>
      <c r="L187" t="s">
        <v>1065</v>
      </c>
      <c r="M187">
        <v>-296</v>
      </c>
      <c r="P187" s="254">
        <v>350</v>
      </c>
      <c r="Q187" s="3"/>
      <c r="R187" s="253">
        <v>51.25</v>
      </c>
      <c r="S187" s="244">
        <f>R187/Rjmk/2</f>
        <v>3.081961534714613</v>
      </c>
      <c r="T187" s="244"/>
      <c r="Y187" s="35"/>
    </row>
    <row r="188" spans="3:25" ht="14.25">
      <c r="C188" t="s">
        <v>1065</v>
      </c>
      <c r="D188" s="258">
        <f>F167</f>
        <v>-309.6638618956043</v>
      </c>
      <c r="E188">
        <f>M187</f>
        <v>-296</v>
      </c>
      <c r="F188" s="34">
        <f t="shared" si="29"/>
        <v>4.616169559325786</v>
      </c>
      <c r="L188" t="s">
        <v>1066</v>
      </c>
      <c r="M188">
        <v>-263</v>
      </c>
      <c r="P188" s="254">
        <v>400</v>
      </c>
      <c r="Q188" s="3"/>
      <c r="R188" s="253">
        <v>52.14</v>
      </c>
      <c r="S188" s="244">
        <f>R188/Rjmk/2</f>
        <v>3.1354824277077062</v>
      </c>
      <c r="T188" s="244"/>
      <c r="Y188" s="35"/>
    </row>
    <row r="189" spans="3:25" ht="15.75" customHeight="1">
      <c r="C189" t="s">
        <v>1066</v>
      </c>
      <c r="D189" s="258">
        <f>F171</f>
        <v>-290.77590957168184</v>
      </c>
      <c r="E189">
        <f>M188</f>
        <v>-263</v>
      </c>
      <c r="F189" s="34">
        <f t="shared" si="29"/>
        <v>10.561182346647085</v>
      </c>
      <c r="L189" t="s">
        <v>1067</v>
      </c>
      <c r="M189">
        <v>-2487</v>
      </c>
      <c r="P189" s="254">
        <v>500</v>
      </c>
      <c r="Q189" s="3"/>
      <c r="R189" s="253">
        <v>53.96</v>
      </c>
      <c r="S189" s="244">
        <f>R189/Rjmk/2</f>
        <v>3.2449296470868396</v>
      </c>
      <c r="T189" s="244"/>
      <c r="Y189" s="35"/>
    </row>
    <row r="190" spans="3:25" ht="14.25">
      <c r="C190" t="s">
        <v>1068</v>
      </c>
      <c r="D190" s="258">
        <f>G155</f>
        <v>-499.6032846177542</v>
      </c>
      <c r="E190">
        <f>M194</f>
        <v>-513</v>
      </c>
      <c r="F190" s="34">
        <f t="shared" si="29"/>
        <v>-2.6114454936151685</v>
      </c>
      <c r="L190" t="s">
        <v>1069</v>
      </c>
      <c r="M190">
        <v>-1922</v>
      </c>
      <c r="P190" s="254">
        <v>600</v>
      </c>
      <c r="Q190" s="3"/>
      <c r="R190" s="253">
        <v>55.81</v>
      </c>
      <c r="S190" s="244">
        <f>R190/Rjmk/2</f>
        <v>3.3561809415106842</v>
      </c>
      <c r="T190" s="244"/>
      <c r="Y190" s="35"/>
    </row>
    <row r="191" spans="3:13" ht="14.25">
      <c r="C191" t="s">
        <v>1070</v>
      </c>
      <c r="D191" s="258">
        <f>G156</f>
        <v>-372.9536529446408</v>
      </c>
      <c r="E191">
        <f>M195</f>
        <v>-370</v>
      </c>
      <c r="F191" s="34">
        <f t="shared" si="29"/>
        <v>0.7982845796326471</v>
      </c>
      <c r="L191" t="s">
        <v>1071</v>
      </c>
      <c r="M191">
        <v>-1592</v>
      </c>
    </row>
    <row r="192" spans="3:13" ht="14.25">
      <c r="C192" t="s">
        <v>1072</v>
      </c>
      <c r="D192" s="258">
        <f>G157</f>
        <v>-345.7192797971117</v>
      </c>
      <c r="E192">
        <f>M196</f>
        <v>-339</v>
      </c>
      <c r="F192" s="34">
        <f t="shared" si="29"/>
        <v>1.9820884357261683</v>
      </c>
      <c r="L192" t="s">
        <v>1073</v>
      </c>
      <c r="M192">
        <v>-1445</v>
      </c>
    </row>
    <row r="193" spans="3:13" ht="14.25">
      <c r="C193" t="s">
        <v>1074</v>
      </c>
      <c r="D193" s="258">
        <f>G158</f>
        <v>-309.6638618956043</v>
      </c>
      <c r="E193">
        <f>M197</f>
        <v>-294</v>
      </c>
      <c r="F193" s="34">
        <f t="shared" si="29"/>
        <v>5.327844182178342</v>
      </c>
      <c r="G193" s="37"/>
      <c r="H193" s="37"/>
      <c r="L193" t="s">
        <v>1075</v>
      </c>
      <c r="M193">
        <v>-1304</v>
      </c>
    </row>
    <row r="194" spans="4:13" ht="14.25">
      <c r="D194" s="38"/>
      <c r="E194" s="39" t="s">
        <v>779</v>
      </c>
      <c r="F194" s="280">
        <f aca="true" t="array" ref="F194">AVERAGE(ABS(F185:F193))</f>
        <v>4.541881002548982</v>
      </c>
      <c r="G194" s="37"/>
      <c r="H194" s="37"/>
      <c r="L194" t="s">
        <v>1068</v>
      </c>
      <c r="M194">
        <v>-513</v>
      </c>
    </row>
    <row r="195" spans="6:13" ht="14.25">
      <c r="F195" s="37"/>
      <c r="G195" s="37"/>
      <c r="H195" s="37"/>
      <c r="L195" t="s">
        <v>1070</v>
      </c>
      <c r="M195">
        <v>-370</v>
      </c>
    </row>
    <row r="196" spans="2:13" ht="14.25" customHeight="1">
      <c r="B196" s="340" t="s">
        <v>1020</v>
      </c>
      <c r="C196" s="340"/>
      <c r="D196" s="340"/>
      <c r="E196" s="340"/>
      <c r="F196" s="340"/>
      <c r="G196" s="340"/>
      <c r="H196" s="340"/>
      <c r="I196" s="340"/>
      <c r="J196" s="340"/>
      <c r="L196" t="s">
        <v>1072</v>
      </c>
      <c r="M196">
        <v>-339</v>
      </c>
    </row>
    <row r="197" spans="2:13" ht="14.25">
      <c r="B197" s="340"/>
      <c r="C197" s="340"/>
      <c r="D197" s="340"/>
      <c r="E197" s="340"/>
      <c r="F197" s="340"/>
      <c r="G197" s="340"/>
      <c r="H197" s="340"/>
      <c r="I197" s="340"/>
      <c r="J197" s="340"/>
      <c r="L197" t="s">
        <v>1074</v>
      </c>
      <c r="M197">
        <v>-294</v>
      </c>
    </row>
    <row r="198" spans="2:10" ht="12.75">
      <c r="B198" s="340"/>
      <c r="C198" s="340"/>
      <c r="D198" s="340"/>
      <c r="E198" s="340"/>
      <c r="F198" s="340"/>
      <c r="G198" s="340"/>
      <c r="H198" s="340"/>
      <c r="I198" s="340"/>
      <c r="J198" s="340"/>
    </row>
    <row r="199" spans="2:10" ht="12.75">
      <c r="B199" s="340"/>
      <c r="C199" s="340"/>
      <c r="D199" s="340"/>
      <c r="E199" s="340"/>
      <c r="F199" s="340"/>
      <c r="G199" s="340"/>
      <c r="H199" s="340"/>
      <c r="I199" s="340"/>
      <c r="J199" s="340"/>
    </row>
    <row r="200" spans="2:10" ht="12.75">
      <c r="B200" s="340"/>
      <c r="C200" s="340"/>
      <c r="D200" s="340"/>
      <c r="E200" s="340"/>
      <c r="F200" s="340"/>
      <c r="G200" s="340"/>
      <c r="H200" s="340"/>
      <c r="I200" s="340"/>
      <c r="J200" s="340"/>
    </row>
    <row r="202" spans="2:7" ht="14.25">
      <c r="B202" s="210" t="s">
        <v>1076</v>
      </c>
      <c r="G202" s="4" t="s">
        <v>916</v>
      </c>
    </row>
    <row r="203" spans="5:7" ht="15.75">
      <c r="E203" s="8"/>
      <c r="F203" s="279" t="s">
        <v>1058</v>
      </c>
      <c r="G203" s="7" t="s">
        <v>1077</v>
      </c>
    </row>
    <row r="204" spans="2:7" ht="12.75">
      <c r="B204" s="8" t="s">
        <v>566</v>
      </c>
      <c r="C204" s="7"/>
      <c r="D204" s="7"/>
      <c r="E204" s="6" t="s">
        <v>954</v>
      </c>
      <c r="F204" s="6" t="s">
        <v>955</v>
      </c>
      <c r="G204" s="228" t="s">
        <v>792</v>
      </c>
    </row>
    <row r="205" spans="2:7" ht="14.25">
      <c r="B205" s="281" t="s">
        <v>837</v>
      </c>
      <c r="C205" t="s">
        <v>1062</v>
      </c>
      <c r="D205" t="s">
        <v>1068</v>
      </c>
      <c r="E205">
        <f aca="true" t="shared" si="30" ref="E205:E224">VLOOKUP(C205,$L$184:$M$197,2,FALSE)</f>
        <v>-515</v>
      </c>
      <c r="F205">
        <f aca="true" t="shared" si="31" ref="F205:F224">VLOOKUP(D205,$L$184:$M$197,2,FALSE)</f>
        <v>-513</v>
      </c>
      <c r="G205" s="38">
        <f aca="true" t="shared" si="32" ref="G205:G224">F205-E205</f>
        <v>2</v>
      </c>
    </row>
    <row r="206" spans="2:7" ht="14.25">
      <c r="B206" s="1" t="s">
        <v>880</v>
      </c>
      <c r="C206" t="s">
        <v>1062</v>
      </c>
      <c r="D206" t="s">
        <v>1070</v>
      </c>
      <c r="E206">
        <f t="shared" si="30"/>
        <v>-515</v>
      </c>
      <c r="F206">
        <f t="shared" si="31"/>
        <v>-370</v>
      </c>
      <c r="G206" s="38">
        <f t="shared" si="32"/>
        <v>145</v>
      </c>
    </row>
    <row r="207" spans="2:7" ht="14.25">
      <c r="B207" s="1" t="s">
        <v>838</v>
      </c>
      <c r="C207" t="s">
        <v>1062</v>
      </c>
      <c r="D207" t="s">
        <v>1072</v>
      </c>
      <c r="E207">
        <f t="shared" si="30"/>
        <v>-515</v>
      </c>
      <c r="F207">
        <f t="shared" si="31"/>
        <v>-339</v>
      </c>
      <c r="G207" s="38">
        <f t="shared" si="32"/>
        <v>176</v>
      </c>
    </row>
    <row r="208" spans="2:7" ht="14.25">
      <c r="B208" s="1" t="s">
        <v>836</v>
      </c>
      <c r="C208" t="s">
        <v>1062</v>
      </c>
      <c r="D208" t="s">
        <v>1074</v>
      </c>
      <c r="E208">
        <f t="shared" si="30"/>
        <v>-515</v>
      </c>
      <c r="F208">
        <f t="shared" si="31"/>
        <v>-294</v>
      </c>
      <c r="G208" s="38">
        <f t="shared" si="32"/>
        <v>221</v>
      </c>
    </row>
    <row r="209" spans="2:7" ht="14.25">
      <c r="B209" s="1" t="s">
        <v>751</v>
      </c>
      <c r="C209" t="s">
        <v>1063</v>
      </c>
      <c r="D209" t="s">
        <v>1068</v>
      </c>
      <c r="E209">
        <f t="shared" si="30"/>
        <v>-405</v>
      </c>
      <c r="F209">
        <f t="shared" si="31"/>
        <v>-513</v>
      </c>
      <c r="G209" s="38">
        <f t="shared" si="32"/>
        <v>-108</v>
      </c>
    </row>
    <row r="210" spans="2:7" ht="14.25">
      <c r="B210" s="1" t="s">
        <v>879</v>
      </c>
      <c r="C210" t="s">
        <v>1063</v>
      </c>
      <c r="D210" t="s">
        <v>1070</v>
      </c>
      <c r="E210">
        <f t="shared" si="30"/>
        <v>-405</v>
      </c>
      <c r="F210">
        <f t="shared" si="31"/>
        <v>-370</v>
      </c>
      <c r="G210" s="38">
        <f t="shared" si="32"/>
        <v>35</v>
      </c>
    </row>
    <row r="211" spans="2:7" ht="14.25">
      <c r="B211" s="1" t="s">
        <v>749</v>
      </c>
      <c r="C211" t="s">
        <v>1063</v>
      </c>
      <c r="D211" t="s">
        <v>1072</v>
      </c>
      <c r="E211">
        <f t="shared" si="30"/>
        <v>-405</v>
      </c>
      <c r="F211">
        <f t="shared" si="31"/>
        <v>-339</v>
      </c>
      <c r="G211" s="38">
        <f t="shared" si="32"/>
        <v>66</v>
      </c>
    </row>
    <row r="212" spans="2:7" ht="14.25">
      <c r="B212" s="1" t="s">
        <v>750</v>
      </c>
      <c r="C212" t="s">
        <v>1063</v>
      </c>
      <c r="D212" t="s">
        <v>1074</v>
      </c>
      <c r="E212">
        <f t="shared" si="30"/>
        <v>-405</v>
      </c>
      <c r="F212">
        <f t="shared" si="31"/>
        <v>-294</v>
      </c>
      <c r="G212" s="38">
        <f t="shared" si="32"/>
        <v>111</v>
      </c>
    </row>
    <row r="213" spans="2:7" ht="14.25">
      <c r="B213" s="1" t="s">
        <v>752</v>
      </c>
      <c r="C213" t="s">
        <v>1064</v>
      </c>
      <c r="D213" t="s">
        <v>1068</v>
      </c>
      <c r="E213">
        <f t="shared" si="30"/>
        <v>-321</v>
      </c>
      <c r="F213">
        <f t="shared" si="31"/>
        <v>-513</v>
      </c>
      <c r="G213" s="38">
        <f t="shared" si="32"/>
        <v>-192</v>
      </c>
    </row>
    <row r="214" spans="2:7" ht="14.25">
      <c r="B214" s="1" t="s">
        <v>753</v>
      </c>
      <c r="C214" t="s">
        <v>1064</v>
      </c>
      <c r="D214" t="s">
        <v>1070</v>
      </c>
      <c r="E214">
        <f t="shared" si="30"/>
        <v>-321</v>
      </c>
      <c r="F214">
        <f t="shared" si="31"/>
        <v>-370</v>
      </c>
      <c r="G214" s="38">
        <f t="shared" si="32"/>
        <v>-49</v>
      </c>
    </row>
    <row r="215" spans="2:7" ht="14.25">
      <c r="B215" s="1" t="s">
        <v>754</v>
      </c>
      <c r="C215" t="s">
        <v>1064</v>
      </c>
      <c r="D215" t="s">
        <v>1072</v>
      </c>
      <c r="E215">
        <f t="shared" si="30"/>
        <v>-321</v>
      </c>
      <c r="F215">
        <f t="shared" si="31"/>
        <v>-339</v>
      </c>
      <c r="G215" s="38">
        <f t="shared" si="32"/>
        <v>-18</v>
      </c>
    </row>
    <row r="216" spans="2:7" ht="14.25">
      <c r="B216" s="1" t="s">
        <v>755</v>
      </c>
      <c r="C216" t="s">
        <v>1064</v>
      </c>
      <c r="D216" t="s">
        <v>1074</v>
      </c>
      <c r="E216">
        <f t="shared" si="30"/>
        <v>-321</v>
      </c>
      <c r="F216">
        <f t="shared" si="31"/>
        <v>-294</v>
      </c>
      <c r="G216" s="38">
        <f t="shared" si="32"/>
        <v>27</v>
      </c>
    </row>
    <row r="217" spans="2:7" ht="14.25">
      <c r="B217" s="1" t="s">
        <v>756</v>
      </c>
      <c r="C217" t="s">
        <v>1065</v>
      </c>
      <c r="D217" t="s">
        <v>1068</v>
      </c>
      <c r="E217">
        <f t="shared" si="30"/>
        <v>-296</v>
      </c>
      <c r="F217">
        <f t="shared" si="31"/>
        <v>-513</v>
      </c>
      <c r="G217" s="38">
        <f t="shared" si="32"/>
        <v>-217</v>
      </c>
    </row>
    <row r="218" spans="2:7" ht="14.25">
      <c r="B218" s="1" t="s">
        <v>863</v>
      </c>
      <c r="C218" t="s">
        <v>1065</v>
      </c>
      <c r="D218" t="s">
        <v>1070</v>
      </c>
      <c r="E218">
        <f t="shared" si="30"/>
        <v>-296</v>
      </c>
      <c r="F218">
        <f t="shared" si="31"/>
        <v>-370</v>
      </c>
      <c r="G218" s="38">
        <f t="shared" si="32"/>
        <v>-74</v>
      </c>
    </row>
    <row r="219" spans="2:7" ht="14.25">
      <c r="B219" s="1" t="s">
        <v>757</v>
      </c>
      <c r="C219" t="s">
        <v>1065</v>
      </c>
      <c r="D219" t="s">
        <v>1072</v>
      </c>
      <c r="E219">
        <f t="shared" si="30"/>
        <v>-296</v>
      </c>
      <c r="F219">
        <f t="shared" si="31"/>
        <v>-339</v>
      </c>
      <c r="G219" s="38">
        <f t="shared" si="32"/>
        <v>-43</v>
      </c>
    </row>
    <row r="220" spans="2:10" ht="14.25">
      <c r="B220" s="1" t="s">
        <v>758</v>
      </c>
      <c r="C220" t="s">
        <v>1065</v>
      </c>
      <c r="D220" t="s">
        <v>1074</v>
      </c>
      <c r="E220">
        <f t="shared" si="30"/>
        <v>-296</v>
      </c>
      <c r="F220">
        <f t="shared" si="31"/>
        <v>-294</v>
      </c>
      <c r="G220" s="38">
        <f t="shared" si="32"/>
        <v>2</v>
      </c>
      <c r="J220" s="19" t="s">
        <v>793</v>
      </c>
    </row>
    <row r="221" spans="2:11" ht="14.25">
      <c r="B221" s="1" t="s">
        <v>835</v>
      </c>
      <c r="C221" t="s">
        <v>1066</v>
      </c>
      <c r="D221" t="s">
        <v>1068</v>
      </c>
      <c r="E221">
        <f t="shared" si="30"/>
        <v>-263</v>
      </c>
      <c r="F221">
        <f t="shared" si="31"/>
        <v>-513</v>
      </c>
      <c r="G221" s="38">
        <f t="shared" si="32"/>
        <v>-250</v>
      </c>
      <c r="J221" s="6" t="s">
        <v>993</v>
      </c>
      <c r="K221" s="6" t="s">
        <v>994</v>
      </c>
    </row>
    <row r="222" spans="2:11" ht="14.25">
      <c r="B222" s="1" t="s">
        <v>952</v>
      </c>
      <c r="C222" t="s">
        <v>1066</v>
      </c>
      <c r="D222" t="s">
        <v>1070</v>
      </c>
      <c r="E222">
        <f t="shared" si="30"/>
        <v>-263</v>
      </c>
      <c r="F222">
        <f t="shared" si="31"/>
        <v>-370</v>
      </c>
      <c r="G222" s="38">
        <f t="shared" si="32"/>
        <v>-107</v>
      </c>
      <c r="J222">
        <f>G221</f>
        <v>-250</v>
      </c>
      <c r="K222">
        <v>-36.86</v>
      </c>
    </row>
    <row r="223" spans="2:11" ht="14.25">
      <c r="B223" s="1" t="s">
        <v>748</v>
      </c>
      <c r="C223" t="s">
        <v>1066</v>
      </c>
      <c r="D223" t="s">
        <v>1072</v>
      </c>
      <c r="E223">
        <f t="shared" si="30"/>
        <v>-263</v>
      </c>
      <c r="F223">
        <f t="shared" si="31"/>
        <v>-339</v>
      </c>
      <c r="G223" s="38">
        <f t="shared" si="32"/>
        <v>-76</v>
      </c>
      <c r="J223">
        <f>G224</f>
        <v>-31</v>
      </c>
      <c r="K223">
        <v>33.35</v>
      </c>
    </row>
    <row r="224" spans="2:11" ht="14.25">
      <c r="B224" s="1" t="s">
        <v>744</v>
      </c>
      <c r="C224" t="s">
        <v>1066</v>
      </c>
      <c r="D224" t="s">
        <v>1074</v>
      </c>
      <c r="E224">
        <f t="shared" si="30"/>
        <v>-263</v>
      </c>
      <c r="F224">
        <f t="shared" si="31"/>
        <v>-294</v>
      </c>
      <c r="G224" s="38">
        <f t="shared" si="32"/>
        <v>-31</v>
      </c>
      <c r="J224">
        <v>216</v>
      </c>
      <c r="K224">
        <v>-63.3</v>
      </c>
    </row>
    <row r="242" ht="12.75" customHeight="1"/>
    <row r="254" ht="12.75">
      <c r="B254" t="s">
        <v>1078</v>
      </c>
    </row>
    <row r="255" ht="12.75">
      <c r="B255" t="s">
        <v>6</v>
      </c>
    </row>
    <row r="257" ht="14.25">
      <c r="B257" s="210" t="s">
        <v>1079</v>
      </c>
    </row>
    <row r="258" spans="2:11" ht="15.75">
      <c r="B258" s="210"/>
      <c r="D258" s="343" t="s">
        <v>1080</v>
      </c>
      <c r="E258" s="343"/>
      <c r="K258" t="s">
        <v>826</v>
      </c>
    </row>
    <row r="259" spans="2:12" ht="15.75">
      <c r="B259" s="8" t="s">
        <v>566</v>
      </c>
      <c r="C259" s="7" t="s">
        <v>1077</v>
      </c>
      <c r="D259" s="282" t="s">
        <v>817</v>
      </c>
      <c r="E259" s="282" t="s">
        <v>828</v>
      </c>
      <c r="I259" s="6" t="s">
        <v>820</v>
      </c>
      <c r="J259" s="6" t="s">
        <v>818</v>
      </c>
      <c r="K259" s="6" t="s">
        <v>993</v>
      </c>
      <c r="L259" s="6" t="s">
        <v>994</v>
      </c>
    </row>
    <row r="260" spans="2:12" ht="12.75">
      <c r="B260" s="281" t="s">
        <v>837</v>
      </c>
      <c r="C260" s="38">
        <v>-36</v>
      </c>
      <c r="D260" s="283">
        <v>56</v>
      </c>
      <c r="E260" s="258">
        <f aca="true" t="shared" si="33" ref="E260:E279">B155</f>
        <v>4.73</v>
      </c>
      <c r="I260" s="34">
        <f aca="true" t="shared" si="34" ref="I260:I279">$I$282*C260*C260+$J$282*C260+$K$282</f>
        <v>13.975466607813276</v>
      </c>
      <c r="J260" s="258">
        <f aca="true" t="shared" si="35" ref="J260:J279">(I260-D260)^2</f>
        <v>1766.0614068310172</v>
      </c>
      <c r="K260" s="3">
        <v>175</v>
      </c>
      <c r="L260" s="258">
        <f aca="true" t="shared" si="36" ref="L260:L276">$I$282*K260*K260+$J$282*K260+$K$282</f>
        <v>-14.10553649818123</v>
      </c>
    </row>
    <row r="261" spans="2:12" ht="12.75">
      <c r="B261" s="1" t="s">
        <v>880</v>
      </c>
      <c r="C261" s="38">
        <v>90</v>
      </c>
      <c r="D261" s="283">
        <v>22</v>
      </c>
      <c r="E261" s="258">
        <f t="shared" si="33"/>
        <v>-37.03</v>
      </c>
      <c r="I261" s="34">
        <f t="shared" si="34"/>
        <v>7.9166725149871064</v>
      </c>
      <c r="J261" s="258">
        <f t="shared" si="35"/>
        <v>198.3401130501196</v>
      </c>
      <c r="K261" s="3">
        <v>150</v>
      </c>
      <c r="L261" s="258">
        <f t="shared" si="36"/>
        <v>-6.1284222818286125</v>
      </c>
    </row>
    <row r="262" spans="2:12" ht="12.75">
      <c r="B262" s="1" t="s">
        <v>838</v>
      </c>
      <c r="C262" s="38">
        <v>118</v>
      </c>
      <c r="D262" s="283">
        <v>9</v>
      </c>
      <c r="E262" s="258">
        <f t="shared" si="33"/>
        <v>-48.83</v>
      </c>
      <c r="I262" s="34">
        <f t="shared" si="34"/>
        <v>2.2582913103746325</v>
      </c>
      <c r="J262" s="258">
        <f t="shared" si="35"/>
        <v>45.45063605577019</v>
      </c>
      <c r="K262" s="3">
        <v>125</v>
      </c>
      <c r="L262" s="258">
        <f t="shared" si="36"/>
        <v>0.5986970025557312</v>
      </c>
    </row>
    <row r="263" spans="2:12" ht="12.75">
      <c r="B263" s="1" t="s">
        <v>836</v>
      </c>
      <c r="C263" s="38">
        <v>154</v>
      </c>
      <c r="D263" s="283">
        <v>-12</v>
      </c>
      <c r="E263" s="258">
        <f t="shared" si="33"/>
        <v>-63.3</v>
      </c>
      <c r="I263" s="34">
        <f t="shared" si="34"/>
        <v>-7.320760897016765</v>
      </c>
      <c r="J263" s="258">
        <f t="shared" si="35"/>
        <v>21.89527858288735</v>
      </c>
      <c r="K263" s="3">
        <v>100</v>
      </c>
      <c r="L263" s="258">
        <f t="shared" si="36"/>
        <v>6.075821354971797</v>
      </c>
    </row>
    <row r="264" spans="2:12" ht="12.75">
      <c r="B264" s="1" t="s">
        <v>751</v>
      </c>
      <c r="C264" s="38">
        <v>-104</v>
      </c>
      <c r="D264" s="283">
        <v>30</v>
      </c>
      <c r="E264" s="258">
        <f t="shared" si="33"/>
        <v>0.91</v>
      </c>
      <c r="I264" s="34">
        <f t="shared" si="34"/>
        <v>4.053345477222862</v>
      </c>
      <c r="J264" s="258">
        <f t="shared" si="35"/>
        <v>673.2288809243513</v>
      </c>
      <c r="K264" s="3">
        <v>75</v>
      </c>
      <c r="L264" s="258">
        <f t="shared" si="36"/>
        <v>10.302950775419585</v>
      </c>
    </row>
    <row r="265" spans="2:12" ht="12.75">
      <c r="B265" s="1" t="s">
        <v>879</v>
      </c>
      <c r="C265" s="38">
        <v>23</v>
      </c>
      <c r="D265" s="283">
        <v>22</v>
      </c>
      <c r="E265" s="258">
        <f t="shared" si="33"/>
        <v>3.88</v>
      </c>
      <c r="I265" s="34">
        <f t="shared" si="34"/>
        <v>15.0913962038702</v>
      </c>
      <c r="J265" s="258">
        <f t="shared" si="35"/>
        <v>47.72880641189908</v>
      </c>
      <c r="K265" s="3">
        <v>50</v>
      </c>
      <c r="L265" s="258">
        <f t="shared" si="36"/>
        <v>13.280085263899096</v>
      </c>
    </row>
    <row r="266" spans="2:12" ht="12.75">
      <c r="B266" s="1" t="s">
        <v>749</v>
      </c>
      <c r="C266" s="38">
        <v>50</v>
      </c>
      <c r="D266" s="283">
        <v>15</v>
      </c>
      <c r="E266" s="258">
        <f t="shared" si="33"/>
        <v>-0.6</v>
      </c>
      <c r="I266" s="34">
        <f t="shared" si="34"/>
        <v>13.280085263899096</v>
      </c>
      <c r="J266" s="258">
        <f t="shared" si="35"/>
        <v>2.958106699457042</v>
      </c>
      <c r="K266" s="3">
        <v>25</v>
      </c>
      <c r="L266" s="258">
        <f t="shared" si="36"/>
        <v>15.00722482041033</v>
      </c>
    </row>
    <row r="267" spans="2:12" ht="12.75">
      <c r="B267" s="1" t="s">
        <v>750</v>
      </c>
      <c r="C267" s="38">
        <v>86</v>
      </c>
      <c r="D267" s="283">
        <v>1</v>
      </c>
      <c r="E267" s="258">
        <f t="shared" si="33"/>
        <v>-7.53</v>
      </c>
      <c r="I267" s="34">
        <f t="shared" si="34"/>
        <v>8.597013206041051</v>
      </c>
      <c r="J267" s="258">
        <f t="shared" si="35"/>
        <v>57.714609652762135</v>
      </c>
      <c r="K267" s="3">
        <v>0</v>
      </c>
      <c r="L267" s="258">
        <f t="shared" si="36"/>
        <v>15.484369444953288</v>
      </c>
    </row>
    <row r="268" spans="2:12" ht="12.75">
      <c r="B268" s="1" t="s">
        <v>752</v>
      </c>
      <c r="C268" s="38">
        <v>-170</v>
      </c>
      <c r="D268" s="283">
        <v>-8</v>
      </c>
      <c r="E268" s="258">
        <f t="shared" si="33"/>
        <v>-17.73</v>
      </c>
      <c r="I268" s="34">
        <f t="shared" si="34"/>
        <v>-14.420912703953313</v>
      </c>
      <c r="J268" s="258">
        <f t="shared" si="35"/>
        <v>41.22811995178905</v>
      </c>
      <c r="K268" s="3">
        <v>-25</v>
      </c>
      <c r="L268" s="258">
        <f t="shared" si="36"/>
        <v>14.711519137527967</v>
      </c>
    </row>
    <row r="269" spans="2:12" ht="12.75">
      <c r="B269" s="1" t="s">
        <v>753</v>
      </c>
      <c r="C269" s="38">
        <v>-43</v>
      </c>
      <c r="D269" s="283">
        <v>10</v>
      </c>
      <c r="E269" s="258">
        <f t="shared" si="33"/>
        <v>17.22</v>
      </c>
      <c r="I269" s="34">
        <f t="shared" si="34"/>
        <v>13.38107005430698</v>
      </c>
      <c r="J269" s="258">
        <f t="shared" si="35"/>
        <v>11.431634712131402</v>
      </c>
      <c r="K269" s="3">
        <v>-50</v>
      </c>
      <c r="L269" s="258">
        <f t="shared" si="36"/>
        <v>12.68867389813437</v>
      </c>
    </row>
    <row r="270" spans="2:12" ht="12.75">
      <c r="B270" s="1" t="s">
        <v>754</v>
      </c>
      <c r="C270" s="38">
        <v>-16</v>
      </c>
      <c r="D270" s="283">
        <v>9</v>
      </c>
      <c r="E270" s="258">
        <f t="shared" si="33"/>
        <v>19.87</v>
      </c>
      <c r="I270" s="34">
        <f t="shared" si="34"/>
        <v>15.133744664363828</v>
      </c>
      <c r="J270" s="258">
        <f t="shared" si="35"/>
        <v>37.62282360761173</v>
      </c>
      <c r="K270" s="3">
        <v>-75</v>
      </c>
      <c r="L270" s="258">
        <f t="shared" si="36"/>
        <v>9.415833726772496</v>
      </c>
    </row>
    <row r="271" spans="2:12" ht="12.75">
      <c r="B271" s="1" t="s">
        <v>755</v>
      </c>
      <c r="C271" s="38">
        <v>20</v>
      </c>
      <c r="D271" s="283">
        <v>4</v>
      </c>
      <c r="E271" s="258">
        <f t="shared" si="33"/>
        <v>20.33</v>
      </c>
      <c r="I271" s="34">
        <f t="shared" si="34"/>
        <v>15.202653339876385</v>
      </c>
      <c r="J271" s="258">
        <f t="shared" si="35"/>
        <v>125.49944185344351</v>
      </c>
      <c r="K271" s="3">
        <v>-100</v>
      </c>
      <c r="L271" s="258">
        <f t="shared" si="36"/>
        <v>4.892998623442345</v>
      </c>
    </row>
    <row r="272" spans="2:12" ht="12.75">
      <c r="B272" s="1" t="s">
        <v>756</v>
      </c>
      <c r="C272" s="38">
        <v>-190</v>
      </c>
      <c r="D272" s="283">
        <v>-23</v>
      </c>
      <c r="E272" s="258">
        <f t="shared" si="33"/>
        <v>-26.11</v>
      </c>
      <c r="I272" s="34">
        <f t="shared" si="34"/>
        <v>-21.739165785243536</v>
      </c>
      <c r="J272" s="258">
        <f t="shared" si="35"/>
        <v>1.5897029171005497</v>
      </c>
      <c r="K272" s="3">
        <v>-125</v>
      </c>
      <c r="L272" s="258">
        <f t="shared" si="36"/>
        <v>-0.8798314118560846</v>
      </c>
    </row>
    <row r="273" spans="2:12" ht="12.75">
      <c r="B273" s="1" t="s">
        <v>863</v>
      </c>
      <c r="C273" s="38">
        <v>-63</v>
      </c>
      <c r="D273" s="283">
        <v>4</v>
      </c>
      <c r="E273" s="258">
        <f t="shared" si="33"/>
        <v>17.28</v>
      </c>
      <c r="I273" s="34">
        <f t="shared" si="34"/>
        <v>11.142796376535838</v>
      </c>
      <c r="J273" s="258">
        <f t="shared" si="35"/>
        <v>51.01954007665349</v>
      </c>
      <c r="K273" s="3">
        <v>-150</v>
      </c>
      <c r="L273" s="258">
        <f t="shared" si="36"/>
        <v>-7.902656379122789</v>
      </c>
    </row>
    <row r="274" spans="2:12" ht="12.75" customHeight="1">
      <c r="B274" s="1" t="s">
        <v>757</v>
      </c>
      <c r="C274" s="38">
        <v>-36</v>
      </c>
      <c r="D274" s="283">
        <v>5</v>
      </c>
      <c r="E274" s="258">
        <f t="shared" si="33"/>
        <v>21.88</v>
      </c>
      <c r="I274" s="34">
        <f t="shared" si="34"/>
        <v>13.975466607813276</v>
      </c>
      <c r="J274" s="258">
        <f t="shared" si="35"/>
        <v>80.55900082797116</v>
      </c>
      <c r="K274" s="3">
        <v>-175</v>
      </c>
      <c r="L274" s="258">
        <f t="shared" si="36"/>
        <v>-16.17547627835777</v>
      </c>
    </row>
    <row r="275" spans="2:12" ht="12.75" customHeight="1">
      <c r="B275" s="1" t="s">
        <v>758</v>
      </c>
      <c r="C275" s="38">
        <v>0</v>
      </c>
      <c r="D275" s="283">
        <v>2</v>
      </c>
      <c r="E275" s="258">
        <f t="shared" si="33"/>
        <v>25.1</v>
      </c>
      <c r="I275" s="34">
        <f t="shared" si="34"/>
        <v>15.484369444953288</v>
      </c>
      <c r="J275" s="258">
        <f t="shared" si="35"/>
        <v>181.82821932798984</v>
      </c>
      <c r="K275" s="3">
        <v>-200</v>
      </c>
      <c r="L275" s="258">
        <f t="shared" si="36"/>
        <v>-25.698291109561033</v>
      </c>
    </row>
    <row r="276" spans="2:12" ht="12.75">
      <c r="B276" s="1" t="s">
        <v>835</v>
      </c>
      <c r="C276" s="38">
        <v>-209</v>
      </c>
      <c r="D276" s="283">
        <v>-38</v>
      </c>
      <c r="E276" s="258">
        <f t="shared" si="33"/>
        <v>-36.86</v>
      </c>
      <c r="I276" s="34">
        <f t="shared" si="34"/>
        <v>-29.432503208140048</v>
      </c>
      <c r="J276" s="258">
        <f t="shared" si="35"/>
        <v>73.40200127853058</v>
      </c>
      <c r="K276" s="3">
        <v>-210</v>
      </c>
      <c r="L276" s="258">
        <f t="shared" si="36"/>
        <v>-29.857415622993457</v>
      </c>
    </row>
    <row r="277" spans="2:12" ht="12.75" customHeight="1">
      <c r="B277" s="1" t="s">
        <v>952</v>
      </c>
      <c r="C277" s="38">
        <v>-82</v>
      </c>
      <c r="D277" s="283">
        <v>-1</v>
      </c>
      <c r="E277" s="258">
        <f t="shared" si="33"/>
        <v>17.78</v>
      </c>
      <c r="I277" s="34">
        <f t="shared" si="34"/>
        <v>8.275439386982455</v>
      </c>
      <c r="J277" s="258">
        <f t="shared" si="35"/>
        <v>86.03377582158546</v>
      </c>
      <c r="K277" s="3"/>
      <c r="L277" s="258"/>
    </row>
    <row r="278" spans="2:12" ht="12.75" customHeight="1">
      <c r="B278" s="1" t="s">
        <v>748</v>
      </c>
      <c r="C278" s="38">
        <v>-55</v>
      </c>
      <c r="D278" s="283">
        <v>2</v>
      </c>
      <c r="E278" s="258">
        <f t="shared" si="33"/>
        <v>25.98</v>
      </c>
      <c r="I278" s="34">
        <f t="shared" si="34"/>
        <v>12.134105458419457</v>
      </c>
      <c r="J278" s="258">
        <f t="shared" si="35"/>
        <v>102.70009344236703</v>
      </c>
      <c r="K278" s="3"/>
      <c r="L278" s="258"/>
    </row>
    <row r="279" spans="2:12" ht="12.75">
      <c r="B279" s="1" t="s">
        <v>744</v>
      </c>
      <c r="C279" s="38">
        <v>-19</v>
      </c>
      <c r="D279" s="283">
        <v>3</v>
      </c>
      <c r="E279" s="258">
        <f t="shared" si="33"/>
        <v>33.35</v>
      </c>
      <c r="I279" s="34">
        <f t="shared" si="34"/>
        <v>15.01100274910555</v>
      </c>
      <c r="J279" s="258">
        <f t="shared" si="35"/>
        <v>144.2641870390211</v>
      </c>
      <c r="K279" s="3"/>
      <c r="L279" s="258"/>
    </row>
    <row r="280" spans="3:11" ht="12.75">
      <c r="C280" s="1"/>
      <c r="I280" s="5" t="s">
        <v>821</v>
      </c>
      <c r="J280" s="277">
        <f>SUM(J260:J279)</f>
        <v>3750.5563790644583</v>
      </c>
      <c r="K280" s="284" t="s">
        <v>765</v>
      </c>
    </row>
    <row r="281" spans="3:11" ht="12.75">
      <c r="C281" s="1"/>
      <c r="I281" s="4" t="s">
        <v>822</v>
      </c>
      <c r="J281" s="4" t="s">
        <v>823</v>
      </c>
      <c r="K281" s="4" t="s">
        <v>824</v>
      </c>
    </row>
    <row r="282" spans="3:12" ht="12.75">
      <c r="C282" s="1"/>
      <c r="H282" s="5" t="s">
        <v>825</v>
      </c>
      <c r="I282" s="285">
        <v>-0.0009999959455746217</v>
      </c>
      <c r="J282" s="286">
        <v>0.005914113657647263</v>
      </c>
      <c r="K282" s="287">
        <v>15.484369444953288</v>
      </c>
      <c r="L282" t="s">
        <v>827</v>
      </c>
    </row>
    <row r="284" spans="2:10" ht="12.75" customHeight="1">
      <c r="B284" s="340" t="s">
        <v>1021</v>
      </c>
      <c r="C284" s="340"/>
      <c r="D284" s="340"/>
      <c r="E284" s="340"/>
      <c r="F284" s="340"/>
      <c r="G284" s="340"/>
      <c r="H284" s="340"/>
      <c r="I284" s="340"/>
      <c r="J284" s="340"/>
    </row>
    <row r="285" spans="2:10" ht="12.75" customHeight="1">
      <c r="B285" s="340"/>
      <c r="C285" s="340"/>
      <c r="D285" s="340"/>
      <c r="E285" s="340"/>
      <c r="F285" s="340"/>
      <c r="G285" s="340"/>
      <c r="H285" s="340"/>
      <c r="I285" s="340"/>
      <c r="J285" s="340"/>
    </row>
    <row r="286" spans="2:10" ht="12.75">
      <c r="B286" s="340"/>
      <c r="C286" s="340"/>
      <c r="D286" s="340"/>
      <c r="E286" s="340"/>
      <c r="F286" s="340"/>
      <c r="G286" s="340"/>
      <c r="H286" s="340"/>
      <c r="I286" s="340"/>
      <c r="J286" s="340"/>
    </row>
    <row r="287" spans="2:10" ht="12.75">
      <c r="B287" s="340"/>
      <c r="C287" s="340"/>
      <c r="D287" s="340"/>
      <c r="E287" s="340"/>
      <c r="F287" s="340"/>
      <c r="G287" s="340"/>
      <c r="H287" s="340"/>
      <c r="I287" s="340"/>
      <c r="J287" s="340"/>
    </row>
    <row r="288" spans="2:10" ht="12.75">
      <c r="B288" s="340"/>
      <c r="C288" s="340"/>
      <c r="D288" s="340"/>
      <c r="E288" s="340"/>
      <c r="F288" s="340"/>
      <c r="G288" s="340"/>
      <c r="H288" s="340"/>
      <c r="I288" s="340"/>
      <c r="J288" s="340"/>
    </row>
    <row r="289" spans="2:10" ht="12.75">
      <c r="B289" s="340" t="s">
        <v>781</v>
      </c>
      <c r="C289" s="340"/>
      <c r="D289" s="340"/>
      <c r="E289" s="340"/>
      <c r="F289" s="340"/>
      <c r="G289" s="340"/>
      <c r="H289" s="340"/>
      <c r="I289" s="340"/>
      <c r="J289" s="340"/>
    </row>
    <row r="290" spans="2:10" ht="12.75">
      <c r="B290" s="340"/>
      <c r="C290" s="340"/>
      <c r="D290" s="340"/>
      <c r="E290" s="340"/>
      <c r="F290" s="340"/>
      <c r="G290" s="340"/>
      <c r="H290" s="340"/>
      <c r="I290" s="340"/>
      <c r="J290" s="340"/>
    </row>
  </sheetData>
  <sheetProtection/>
  <mergeCells count="25">
    <mergeCell ref="B2:I12"/>
    <mergeCell ref="B73:I74"/>
    <mergeCell ref="B76:I77"/>
    <mergeCell ref="B84:I87"/>
    <mergeCell ref="B45:I55"/>
    <mergeCell ref="B56:I60"/>
    <mergeCell ref="B62:I67"/>
    <mergeCell ref="B68:I72"/>
    <mergeCell ref="B15:I16"/>
    <mergeCell ref="V88:W88"/>
    <mergeCell ref="D153:E153"/>
    <mergeCell ref="B111:H114"/>
    <mergeCell ref="B144:J146"/>
    <mergeCell ref="B139:J142"/>
    <mergeCell ref="B147:K151"/>
    <mergeCell ref="F153:G153"/>
    <mergeCell ref="O91:O105"/>
    <mergeCell ref="B104:I108"/>
    <mergeCell ref="B289:J290"/>
    <mergeCell ref="D258:E258"/>
    <mergeCell ref="D183:E183"/>
    <mergeCell ref="B178:J179"/>
    <mergeCell ref="B196:J200"/>
    <mergeCell ref="B284:J288"/>
    <mergeCell ref="C181:I182"/>
  </mergeCells>
  <printOptions/>
  <pageMargins left="0.75" right="0.75" top="1" bottom="1" header="0.5" footer="0.5"/>
  <pageSetup horizontalDpi="300" verticalDpi="300" orientation="landscape" r:id="rId4"/>
  <rowBreaks count="3" manualBreakCount="3">
    <brk id="180" max="10" man="1"/>
    <brk id="201" max="10" man="1"/>
    <brk id="256" max="12"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Troy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Christopher King</dc:creator>
  <cp:keywords/>
  <dc:description/>
  <cp:lastModifiedBy>Christopher King</cp:lastModifiedBy>
  <cp:lastPrinted>2005-11-06T17:59:03Z</cp:lastPrinted>
  <dcterms:created xsi:type="dcterms:W3CDTF">2005-10-28T13:51:45Z</dcterms:created>
  <dcterms:modified xsi:type="dcterms:W3CDTF">2007-12-04T13:57:39Z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